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lasik-ya\рабочий стол\А.Г\РЕШЕНИЯ\Решения Думы 2021г\первоначальное - 05.11\"/>
    </mc:Choice>
  </mc:AlternateContent>
  <bookViews>
    <workbookView xWindow="360" yWindow="270" windowWidth="14940" windowHeight="9150" activeTab="2"/>
  </bookViews>
  <sheets>
    <sheet name="на 01.01.2020г. " sheetId="5" r:id="rId1"/>
    <sheet name="на 01.10.2020г. " sheetId="6" r:id="rId2"/>
    <sheet name="реестр 2021-2023гг." sheetId="7" r:id="rId3"/>
  </sheets>
  <externalReferences>
    <externalReference r:id="rId4"/>
  </externalReferences>
  <definedNames>
    <definedName name="LAST_CELL" localSheetId="0">'на 01.01.2020г. '!$J$356</definedName>
    <definedName name="LAST_CELL" localSheetId="1">'на 01.10.2020г. '!$J$356</definedName>
    <definedName name="LAST_CELL" localSheetId="2">'реестр 2021-2023гг.'!#REF!</definedName>
    <definedName name="_xlnm.Print_Titles" localSheetId="2">'реестр 2021-2023гг.'!$2:$3</definedName>
    <definedName name="_xlnm.Print_Area" localSheetId="2">'реестр 2021-2023гг.'!$A$1:$L$365</definedName>
  </definedNames>
  <calcPr calcId="152511"/>
</workbook>
</file>

<file path=xl/calcChain.xml><?xml version="1.0" encoding="utf-8"?>
<calcChain xmlns="http://schemas.openxmlformats.org/spreadsheetml/2006/main">
  <c r="G363" i="7" l="1"/>
  <c r="G90" i="7"/>
  <c r="M295" i="7"/>
  <c r="H449" i="6" l="1"/>
  <c r="H450" i="6" s="1"/>
  <c r="K344" i="6"/>
  <c r="L337" i="6"/>
  <c r="K337" i="6"/>
  <c r="K139" i="6"/>
  <c r="K137" i="6"/>
  <c r="H10" i="6"/>
  <c r="K407" i="5" l="1"/>
  <c r="K398" i="5"/>
  <c r="K389" i="5"/>
  <c r="K388" i="5"/>
  <c r="K386" i="5"/>
  <c r="K366" i="5"/>
  <c r="K356" i="5"/>
  <c r="K351" i="5"/>
  <c r="K350" i="5"/>
  <c r="K349" i="5"/>
  <c r="K348" i="5"/>
  <c r="K347" i="5"/>
  <c r="K346" i="5"/>
  <c r="K345" i="5"/>
  <c r="K344" i="5"/>
  <c r="K343" i="5"/>
  <c r="K342" i="5"/>
  <c r="K341" i="5"/>
  <c r="K340" i="5"/>
  <c r="K339" i="5"/>
  <c r="K338" i="5"/>
  <c r="K337" i="5"/>
  <c r="K336" i="5"/>
  <c r="K335" i="5"/>
  <c r="K334" i="5"/>
  <c r="K333" i="5"/>
  <c r="K329" i="5"/>
  <c r="K326" i="5"/>
  <c r="K324" i="5"/>
  <c r="K323" i="5"/>
  <c r="E323" i="5"/>
  <c r="L323" i="5" s="1"/>
  <c r="P316" i="5"/>
  <c r="N316" i="5"/>
  <c r="M316" i="5"/>
  <c r="L316" i="5"/>
  <c r="K316" i="5"/>
  <c r="K317" i="5" s="1"/>
  <c r="J316" i="5"/>
  <c r="E316" i="5"/>
  <c r="K318" i="5" s="1"/>
  <c r="M314" i="5"/>
  <c r="L314" i="5"/>
  <c r="K314" i="5"/>
  <c r="N313" i="5"/>
  <c r="K189" i="5"/>
  <c r="L189" i="5" s="1"/>
  <c r="K14" i="5"/>
  <c r="K13" i="5"/>
  <c r="K11" i="5"/>
  <c r="H307" i="7" l="1"/>
  <c r="G307" i="7"/>
  <c r="N295" i="7" l="1"/>
  <c r="O295" i="7"/>
  <c r="P295" i="7"/>
  <c r="Q295" i="7"/>
  <c r="H363" i="7"/>
  <c r="H218" i="7"/>
  <c r="H354" i="7"/>
  <c r="H351" i="7"/>
  <c r="H348" i="7"/>
  <c r="H345" i="7"/>
  <c r="H343" i="7"/>
  <c r="H338" i="7"/>
  <c r="H332" i="7"/>
  <c r="H326" i="7"/>
  <c r="H315" i="7"/>
  <c r="H319" i="7"/>
  <c r="H284" i="7"/>
  <c r="H280" i="7"/>
  <c r="H230" i="7"/>
  <c r="H210" i="7"/>
  <c r="H194" i="7"/>
  <c r="H185" i="7"/>
  <c r="H180" i="7"/>
  <c r="H176" i="7"/>
  <c r="H171" i="7"/>
  <c r="H167" i="7" l="1"/>
  <c r="H161" i="7"/>
  <c r="H156" i="7"/>
  <c r="H144" i="7"/>
  <c r="G153" i="7"/>
  <c r="H105" i="7"/>
  <c r="H103" i="7"/>
  <c r="H87" i="7"/>
  <c r="H36" i="7"/>
  <c r="H27" i="7"/>
  <c r="H11" i="7"/>
  <c r="H5" i="7"/>
  <c r="F87" i="7"/>
  <c r="G87" i="7"/>
  <c r="I87" i="7"/>
  <c r="J87" i="7"/>
  <c r="K87" i="7"/>
  <c r="L87" i="7"/>
  <c r="F88" i="7"/>
  <c r="G262" i="7"/>
  <c r="F267" i="7"/>
  <c r="G267" i="7"/>
  <c r="F271" i="7"/>
  <c r="F273" i="7"/>
  <c r="F274" i="7"/>
  <c r="F275" i="7"/>
  <c r="F276" i="7"/>
  <c r="F278" i="7"/>
  <c r="G258" i="7"/>
  <c r="G254" i="7"/>
  <c r="G236" i="7" l="1"/>
  <c r="G243" i="7"/>
  <c r="G240" i="7"/>
  <c r="H51" i="7" l="1"/>
  <c r="H33" i="7"/>
  <c r="H16" i="7"/>
  <c r="G323" i="7"/>
  <c r="G127" i="7" l="1"/>
  <c r="G103" i="7"/>
  <c r="G36" i="7"/>
  <c r="G5" i="7"/>
  <c r="G27" i="7" l="1"/>
  <c r="G21" i="7"/>
  <c r="J5" i="7"/>
  <c r="K297" i="7" l="1"/>
  <c r="L309" i="7" l="1"/>
  <c r="L310" i="7"/>
  <c r="H303" i="7"/>
  <c r="I303" i="7"/>
  <c r="J303" i="7"/>
  <c r="K303" i="7"/>
  <c r="L303" i="7"/>
  <c r="G303" i="7"/>
  <c r="K311" i="7"/>
  <c r="K310" i="7"/>
  <c r="K308" i="7"/>
  <c r="K309" i="7"/>
  <c r="H297" i="7"/>
  <c r="I297" i="7"/>
  <c r="J297" i="7"/>
  <c r="L297" i="7"/>
  <c r="G297" i="7"/>
  <c r="J324" i="7"/>
  <c r="J316" i="7"/>
  <c r="H301" i="7"/>
  <c r="I301" i="7"/>
  <c r="J301" i="7"/>
  <c r="K301" i="7"/>
  <c r="L301" i="7"/>
  <c r="G301" i="7"/>
  <c r="J311" i="7"/>
  <c r="J310" i="7"/>
  <c r="J309" i="7"/>
  <c r="J308" i="7"/>
  <c r="J307" i="7" l="1"/>
  <c r="J299" i="7" l="1"/>
  <c r="F363" i="7"/>
  <c r="I354" i="7"/>
  <c r="F353" i="7"/>
  <c r="L338" i="7"/>
  <c r="K338" i="7"/>
  <c r="J338" i="7"/>
  <c r="I338" i="7"/>
  <c r="F337" i="7"/>
  <c r="L336" i="7"/>
  <c r="K336" i="7"/>
  <c r="J336" i="7"/>
  <c r="I336" i="7"/>
  <c r="H336" i="7"/>
  <c r="G336" i="7"/>
  <c r="F336" i="7"/>
  <c r="L332" i="7"/>
  <c r="K332" i="7"/>
  <c r="J332" i="7"/>
  <c r="I332" i="7"/>
  <c r="G332" i="7"/>
  <c r="L326" i="7"/>
  <c r="K326" i="7"/>
  <c r="J326" i="7"/>
  <c r="I326" i="7"/>
  <c r="F325" i="7"/>
  <c r="L323" i="7"/>
  <c r="K323" i="7"/>
  <c r="J323" i="7"/>
  <c r="I323" i="7"/>
  <c r="H323" i="7"/>
  <c r="L321" i="7"/>
  <c r="K321" i="7"/>
  <c r="J321" i="7"/>
  <c r="I321" i="7"/>
  <c r="H321" i="7"/>
  <c r="G321" i="7"/>
  <c r="L319" i="7"/>
  <c r="K319" i="7"/>
  <c r="J319" i="7"/>
  <c r="I319" i="7"/>
  <c r="G319" i="7"/>
  <c r="L315" i="7"/>
  <c r="K315" i="7"/>
  <c r="J315" i="7"/>
  <c r="I315" i="7"/>
  <c r="L313" i="7"/>
  <c r="K313" i="7"/>
  <c r="J313" i="7"/>
  <c r="I313" i="7"/>
  <c r="H313" i="7"/>
  <c r="G313" i="7"/>
  <c r="F312" i="7"/>
  <c r="L307" i="7"/>
  <c r="K307" i="7"/>
  <c r="I307" i="7"/>
  <c r="L305" i="7"/>
  <c r="K305" i="7"/>
  <c r="J305" i="7"/>
  <c r="I305" i="7"/>
  <c r="G305" i="7"/>
  <c r="L299" i="7"/>
  <c r="K299" i="7"/>
  <c r="I299" i="7"/>
  <c r="H299" i="7"/>
  <c r="G299" i="7"/>
  <c r="J296" i="7"/>
  <c r="J295" i="7" s="1"/>
  <c r="L295" i="7"/>
  <c r="K295" i="7"/>
  <c r="I295" i="7"/>
  <c r="H295" i="7"/>
  <c r="G295" i="7"/>
  <c r="F294" i="7"/>
  <c r="L292" i="7"/>
  <c r="K292" i="7"/>
  <c r="J292" i="7"/>
  <c r="I292" i="7"/>
  <c r="H292" i="7"/>
  <c r="G292" i="7"/>
  <c r="L290" i="7"/>
  <c r="K290" i="7"/>
  <c r="J290" i="7"/>
  <c r="I290" i="7"/>
  <c r="H290" i="7"/>
  <c r="G290" i="7"/>
  <c r="F289" i="7"/>
  <c r="F288" i="7"/>
  <c r="F287" i="7"/>
  <c r="L284" i="7"/>
  <c r="K284" i="7"/>
  <c r="J284" i="7"/>
  <c r="I284" i="7"/>
  <c r="F284" i="7"/>
  <c r="L273" i="7"/>
  <c r="K273" i="7"/>
  <c r="J273" i="7"/>
  <c r="I273" i="7"/>
  <c r="L267" i="7"/>
  <c r="K267" i="7"/>
  <c r="J267" i="7"/>
  <c r="I267" i="7"/>
  <c r="F263" i="7"/>
  <c r="F262" i="7"/>
  <c r="L261" i="7"/>
  <c r="K261" i="7"/>
  <c r="J261" i="7"/>
  <c r="I261" i="7"/>
  <c r="F261" i="7"/>
  <c r="F260" i="7"/>
  <c r="L259" i="7"/>
  <c r="K259" i="7"/>
  <c r="J259" i="7"/>
  <c r="I259" i="7"/>
  <c r="F259" i="7"/>
  <c r="F257" i="7"/>
  <c r="F255" i="7"/>
  <c r="L254" i="7"/>
  <c r="K254" i="7"/>
  <c r="J254" i="7"/>
  <c r="I254" i="7"/>
  <c r="F254" i="7"/>
  <c r="L251" i="7"/>
  <c r="K251" i="7"/>
  <c r="J251" i="7"/>
  <c r="I251" i="7"/>
  <c r="G251" i="7"/>
  <c r="F249" i="7"/>
  <c r="L248" i="7"/>
  <c r="K248" i="7"/>
  <c r="J248" i="7"/>
  <c r="I248" i="7"/>
  <c r="G248" i="7"/>
  <c r="F248" i="7"/>
  <c r="L246" i="7"/>
  <c r="K246" i="7"/>
  <c r="J246" i="7"/>
  <c r="I246" i="7"/>
  <c r="F246" i="7"/>
  <c r="L243" i="7"/>
  <c r="K243" i="7"/>
  <c r="J243" i="7"/>
  <c r="I243" i="7"/>
  <c r="F243" i="7"/>
  <c r="F241" i="7"/>
  <c r="L240" i="7"/>
  <c r="K240" i="7"/>
  <c r="J240" i="7"/>
  <c r="I240" i="7"/>
  <c r="F238" i="7"/>
  <c r="F237" i="7"/>
  <c r="L236" i="7"/>
  <c r="K236" i="7"/>
  <c r="J236" i="7"/>
  <c r="I236" i="7"/>
  <c r="F236" i="7"/>
  <c r="F216" i="7"/>
  <c r="L215" i="7"/>
  <c r="K215" i="7"/>
  <c r="J215" i="7"/>
  <c r="I215" i="7"/>
  <c r="G215" i="7"/>
  <c r="F215" i="7"/>
  <c r="F214" i="7"/>
  <c r="L213" i="7"/>
  <c r="K213" i="7"/>
  <c r="J213" i="7"/>
  <c r="I213" i="7"/>
  <c r="G213" i="7"/>
  <c r="F213" i="7"/>
  <c r="L207" i="7"/>
  <c r="K207" i="7"/>
  <c r="J207" i="7"/>
  <c r="I207" i="7"/>
  <c r="H207" i="7"/>
  <c r="G207" i="7"/>
  <c r="L204" i="7"/>
  <c r="K204" i="7"/>
  <c r="J204" i="7"/>
  <c r="I204" i="7"/>
  <c r="H204" i="7"/>
  <c r="G204" i="7"/>
  <c r="L201" i="7"/>
  <c r="K201" i="7"/>
  <c r="J201" i="7"/>
  <c r="I201" i="7"/>
  <c r="H201" i="7"/>
  <c r="G201" i="7"/>
  <c r="L153" i="7"/>
  <c r="K153" i="7"/>
  <c r="J153" i="7"/>
  <c r="I153" i="7"/>
  <c r="H153" i="7"/>
  <c r="I151" i="7"/>
  <c r="H151" i="7"/>
  <c r="G151" i="7"/>
  <c r="L148" i="7"/>
  <c r="K148" i="7"/>
  <c r="J148" i="7"/>
  <c r="I148" i="7"/>
  <c r="H148" i="7"/>
  <c r="G148" i="7"/>
  <c r="F146" i="7"/>
  <c r="F145" i="7"/>
  <c r="L144" i="7"/>
  <c r="K144" i="7"/>
  <c r="J144" i="7"/>
  <c r="I144" i="7"/>
  <c r="F144" i="7"/>
  <c r="L142" i="7"/>
  <c r="K142" i="7"/>
  <c r="J142" i="7"/>
  <c r="I142" i="7"/>
  <c r="H142" i="7"/>
  <c r="G142" i="7"/>
  <c r="L139" i="7"/>
  <c r="K139" i="7"/>
  <c r="J139" i="7"/>
  <c r="I139" i="7"/>
  <c r="H139" i="7"/>
  <c r="G139" i="7"/>
  <c r="F132" i="7"/>
  <c r="F131" i="7"/>
  <c r="I129" i="7"/>
  <c r="F129" i="7"/>
  <c r="I127" i="7"/>
  <c r="I125" i="7" s="1"/>
  <c r="F127" i="7"/>
  <c r="F126" i="7"/>
  <c r="L125" i="7"/>
  <c r="Q125" i="7" s="1"/>
  <c r="K125" i="7"/>
  <c r="P125" i="7" s="1"/>
  <c r="J125" i="7"/>
  <c r="O125" i="7" s="1"/>
  <c r="F125" i="7"/>
  <c r="F123" i="7"/>
  <c r="L122" i="7"/>
  <c r="K122" i="7"/>
  <c r="J122" i="7"/>
  <c r="I122" i="7"/>
  <c r="H122" i="7"/>
  <c r="G122" i="7"/>
  <c r="F122" i="7"/>
  <c r="F121" i="7"/>
  <c r="L120" i="7"/>
  <c r="K120" i="7"/>
  <c r="J120" i="7"/>
  <c r="I120" i="7"/>
  <c r="H120" i="7"/>
  <c r="G120" i="7"/>
  <c r="F120" i="7"/>
  <c r="F119" i="7"/>
  <c r="L118" i="7"/>
  <c r="K118" i="7"/>
  <c r="J118" i="7"/>
  <c r="I118" i="7"/>
  <c r="H118" i="7"/>
  <c r="G118" i="7"/>
  <c r="F118" i="7"/>
  <c r="F117" i="7"/>
  <c r="F116" i="7"/>
  <c r="F115" i="7"/>
  <c r="L114" i="7"/>
  <c r="K114" i="7"/>
  <c r="J114" i="7"/>
  <c r="I114" i="7"/>
  <c r="H114" i="7"/>
  <c r="G114" i="7"/>
  <c r="F114" i="7"/>
  <c r="F112" i="7"/>
  <c r="L111" i="7"/>
  <c r="K111" i="7"/>
  <c r="J111" i="7"/>
  <c r="I111" i="7"/>
  <c r="H111" i="7"/>
  <c r="G111" i="7"/>
  <c r="F111" i="7"/>
  <c r="L108" i="7"/>
  <c r="K108" i="7"/>
  <c r="J108" i="7"/>
  <c r="I108" i="7"/>
  <c r="H108" i="7"/>
  <c r="G108" i="7"/>
  <c r="L103" i="7"/>
  <c r="K103" i="7"/>
  <c r="J103" i="7"/>
  <c r="I103" i="7"/>
  <c r="F101" i="7"/>
  <c r="L100" i="7"/>
  <c r="K100" i="7"/>
  <c r="J100" i="7"/>
  <c r="I100" i="7"/>
  <c r="H100" i="7"/>
  <c r="G100" i="7"/>
  <c r="F100" i="7"/>
  <c r="L97" i="7"/>
  <c r="K97" i="7"/>
  <c r="J97" i="7"/>
  <c r="I97" i="7"/>
  <c r="H97" i="7"/>
  <c r="G97" i="7"/>
  <c r="F95" i="7"/>
  <c r="F94" i="7"/>
  <c r="F93" i="7"/>
  <c r="L92" i="7"/>
  <c r="K92" i="7"/>
  <c r="J92" i="7"/>
  <c r="I92" i="7"/>
  <c r="F92" i="7"/>
  <c r="L90" i="7"/>
  <c r="K90" i="7"/>
  <c r="J90" i="7"/>
  <c r="I90" i="7"/>
  <c r="H90" i="7"/>
  <c r="F85" i="7"/>
  <c r="L84" i="7"/>
  <c r="K84" i="7"/>
  <c r="J84" i="7"/>
  <c r="I84" i="7"/>
  <c r="H84" i="7"/>
  <c r="G84" i="7"/>
  <c r="F84" i="7"/>
  <c r="F81" i="7"/>
  <c r="L80" i="7"/>
  <c r="K80" i="7"/>
  <c r="J80" i="7"/>
  <c r="I80" i="7"/>
  <c r="H80" i="7"/>
  <c r="G80" i="7"/>
  <c r="F80" i="7"/>
  <c r="L76" i="7"/>
  <c r="K76" i="7"/>
  <c r="J76" i="7"/>
  <c r="I76" i="7"/>
  <c r="H76" i="7"/>
  <c r="G76" i="7"/>
  <c r="L73" i="7"/>
  <c r="K73" i="7"/>
  <c r="J73" i="7"/>
  <c r="I73" i="7"/>
  <c r="H73" i="7"/>
  <c r="G73" i="7"/>
  <c r="L66" i="7"/>
  <c r="K66" i="7"/>
  <c r="J66" i="7"/>
  <c r="I66" i="7"/>
  <c r="H66" i="7"/>
  <c r="G66" i="7"/>
  <c r="L62" i="7"/>
  <c r="K62" i="7"/>
  <c r="J62" i="7"/>
  <c r="I62" i="7"/>
  <c r="H62" i="7"/>
  <c r="G62" i="7"/>
  <c r="L56" i="7"/>
  <c r="K56" i="7"/>
  <c r="J56" i="7"/>
  <c r="I56" i="7"/>
  <c r="H56" i="7"/>
  <c r="G56" i="7"/>
  <c r="L51" i="7"/>
  <c r="K51" i="7"/>
  <c r="J51" i="7"/>
  <c r="I51" i="7"/>
  <c r="G51" i="7"/>
  <c r="L45" i="7"/>
  <c r="K45" i="7"/>
  <c r="J45" i="7"/>
  <c r="I45" i="7"/>
  <c r="H45" i="7"/>
  <c r="L36" i="7"/>
  <c r="K36" i="7"/>
  <c r="J36" i="7"/>
  <c r="I36" i="7"/>
  <c r="L33" i="7"/>
  <c r="K33" i="7"/>
  <c r="J33" i="7"/>
  <c r="I33" i="7"/>
  <c r="G33" i="7"/>
  <c r="L30" i="7"/>
  <c r="K30" i="7"/>
  <c r="J30" i="7"/>
  <c r="I30" i="7"/>
  <c r="H30" i="7"/>
  <c r="L27" i="7"/>
  <c r="K27" i="7"/>
  <c r="J27" i="7"/>
  <c r="I27" i="7"/>
  <c r="L24" i="7"/>
  <c r="K24" i="7"/>
  <c r="J24" i="7"/>
  <c r="I24" i="7"/>
  <c r="H24" i="7"/>
  <c r="G24" i="7"/>
  <c r="L21" i="7"/>
  <c r="K21" i="7"/>
  <c r="J21" i="7"/>
  <c r="I21" i="7"/>
  <c r="H21" i="7"/>
  <c r="L16" i="7"/>
  <c r="K16" i="7"/>
  <c r="J16" i="7"/>
  <c r="I16" i="7"/>
  <c r="G16" i="7"/>
  <c r="L11" i="7"/>
  <c r="K11" i="7"/>
  <c r="J11" i="7"/>
  <c r="I11" i="7"/>
  <c r="G11" i="7"/>
  <c r="L5" i="7"/>
  <c r="K5" i="7"/>
  <c r="N139" i="7" l="1"/>
  <c r="L363" i="7"/>
  <c r="L367" i="7" s="1"/>
  <c r="I363" i="7"/>
  <c r="I367" i="7" s="1"/>
  <c r="G367" i="7"/>
  <c r="Q86" i="7"/>
  <c r="J363" i="7"/>
  <c r="J367" i="7" s="1"/>
  <c r="K363" i="7"/>
  <c r="K367" i="7" s="1"/>
  <c r="H367" i="7"/>
  <c r="N86" i="7"/>
  <c r="O86" i="7"/>
  <c r="P86" i="7"/>
  <c r="O5" i="7"/>
  <c r="O36" i="7"/>
  <c r="Q114" i="7"/>
  <c r="P36" i="7"/>
  <c r="O114" i="7"/>
  <c r="M90" i="7"/>
  <c r="P139" i="7"/>
  <c r="N5" i="7"/>
  <c r="N24" i="7"/>
  <c r="P25" i="7" s="1"/>
  <c r="P26" i="7" s="1"/>
  <c r="N36" i="7"/>
  <c r="M5" i="7"/>
  <c r="M6" i="7" s="1"/>
  <c r="N142" i="7"/>
  <c r="P213" i="7"/>
  <c r="P313" i="7"/>
  <c r="P5" i="7"/>
  <c r="O24" i="7"/>
  <c r="P114" i="7"/>
  <c r="Q36" i="7"/>
  <c r="P90" i="7"/>
  <c r="P142" i="7"/>
  <c r="N213" i="7"/>
  <c r="M36" i="7"/>
  <c r="O142" i="7"/>
  <c r="Q213" i="7"/>
  <c r="O313" i="7"/>
  <c r="P24" i="7"/>
  <c r="N90" i="7"/>
  <c r="N114" i="7"/>
  <c r="N125" i="7"/>
  <c r="O139" i="7"/>
  <c r="F366" i="7"/>
  <c r="F367" i="7" s="1"/>
  <c r="M313" i="7"/>
  <c r="Q313" i="7"/>
  <c r="M24" i="7"/>
  <c r="Q24" i="7"/>
  <c r="O90" i="7"/>
  <c r="M142" i="7"/>
  <c r="O213" i="7"/>
  <c r="N313" i="7"/>
  <c r="K152" i="7"/>
  <c r="K151" i="7" s="1"/>
  <c r="J152" i="7"/>
  <c r="J151" i="7" s="1"/>
  <c r="L152" i="7"/>
  <c r="L151" i="7" s="1"/>
  <c r="Q139" i="7"/>
  <c r="Q5" i="7"/>
  <c r="Q25" i="7" l="1"/>
  <c r="Q26" i="7" s="1"/>
  <c r="N25" i="7"/>
  <c r="N26" i="7" s="1"/>
  <c r="O25" i="7"/>
  <c r="O26" i="7" s="1"/>
  <c r="O6" i="7"/>
  <c r="P6" i="7"/>
  <c r="Q6" i="7"/>
  <c r="M9" i="7"/>
  <c r="M8" i="7"/>
  <c r="M7" i="7"/>
  <c r="O7" i="7" l="1"/>
  <c r="Q7" i="7"/>
  <c r="P7" i="7"/>
  <c r="O8" i="7"/>
  <c r="P8" i="7"/>
  <c r="Q8" i="7"/>
  <c r="O9" i="7"/>
  <c r="P9" i="7"/>
  <c r="Q9" i="7"/>
</calcChain>
</file>

<file path=xl/sharedStrings.xml><?xml version="1.0" encoding="utf-8"?>
<sst xmlns="http://schemas.openxmlformats.org/spreadsheetml/2006/main" count="3527" uniqueCount="1233">
  <si>
    <t>(наименование органа, исполняющего бюджет)</t>
  </si>
  <si>
    <t>АНАЛИЗ ДОХОДОВ БЮДЖЕТА</t>
  </si>
  <si>
    <t>Финансовое управление администрации Тайшетского района</t>
  </si>
  <si>
    <t>Дата печати:</t>
  </si>
  <si>
    <t>КВФО (доходы):</t>
  </si>
  <si>
    <t>Деятельность, осуществляемая за счет средств соответствующего бюджета бюджетной системы Российской Федерации (бюджетная деятельность)</t>
  </si>
  <si>
    <t>Наименование</t>
  </si>
  <si>
    <t>КД</t>
  </si>
  <si>
    <t>Доп.КД</t>
  </si>
  <si>
    <t>КВФО</t>
  </si>
  <si>
    <t>Утвержденный план на год</t>
  </si>
  <si>
    <t>Уточненный план на год</t>
  </si>
  <si>
    <t>% поступлений к утвержденному плану</t>
  </si>
  <si>
    <t>на год</t>
  </si>
  <si>
    <t>% поступлений к уточненному плану</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</si>
  <si>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</si>
  <si>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</si>
  <si>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</si>
  <si>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</si>
  <si>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</si>
  <si>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</si>
  <si>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00010102010010000110</t>
  </si>
  <si>
    <t>18210102010010000110</t>
  </si>
  <si>
    <t>0000</t>
  </si>
  <si>
    <t>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</si>
  <si>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</si>
  <si>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</si>
  <si>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</si>
  <si>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</si>
  <si>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</si>
  <si>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18210102010012100110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</si>
  <si>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</si>
  <si>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00010102010013000110</t>
  </si>
  <si>
    <t>18210102010013000110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</si>
  <si>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</si>
  <si>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00010102010014000110</t>
  </si>
  <si>
    <t>18210102010014000110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</si>
  <si>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</si>
  <si>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</si>
  <si>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</si>
  <si>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</si>
  <si>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</si>
  <si>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</si>
  <si>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</si>
  <si>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00010102020012100110</t>
  </si>
  <si>
    <t>18210102020012100110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</si>
  <si>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</si>
  <si>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</si>
  <si>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18210102020013000110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</si>
  <si>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</si>
  <si>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</si>
  <si>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</si>
  <si>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</si>
  <si>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</si>
  <si>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</si>
  <si>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</si>
  <si>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</si>
  <si>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</si>
  <si>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</si>
  <si>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</si>
  <si>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</si>
  <si>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18210102030013000110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</si>
  <si>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</si>
  <si>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00010102030014000110</t>
  </si>
  <si>
    <t>18210102030014000110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</si>
  <si>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</si>
  <si>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</si>
  <si>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18210102040010000110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</si>
  <si>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</si>
  <si>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</si>
  <si>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18210102040011000110</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</si>
  <si>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</si>
  <si>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</si>
  <si>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</si>
  <si>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</si>
  <si>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</si>
  <si>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</si>
  <si>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</si>
  <si>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18210502010021000110</t>
  </si>
  <si>
    <t>Единый налог на вмененный доход для отдельных видов деятельности (пени по соответствующему платежу)</t>
  </si>
  <si>
    <t>00010502010022100110</t>
  </si>
  <si>
    <t>18210502010022100110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</si>
  <si>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</si>
  <si>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</si>
  <si>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18210502010023000110</t>
  </si>
  <si>
    <t>Единый налог на вмененный доход для отдельных видов деятельности (прочие поступления)</t>
  </si>
  <si>
    <t>00010502010024000110</t>
  </si>
  <si>
    <t>18210502010024000110</t>
  </si>
  <si>
    <t>Единый налог на вмененный доход для отдельных видов деятельности (за налоговые периоды, истекшие до 1 января 2011 года)</t>
  </si>
  <si>
    <t>00010502020020000110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</si>
  <si>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</si>
  <si>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</si>
  <si>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18210502020021000110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</si>
  <si>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</si>
  <si>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</si>
  <si>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18210502020022100110</t>
  </si>
  <si>
    <t>Единый сельскохозяйственный налог</t>
  </si>
  <si>
    <t>00010503000010000110</t>
  </si>
  <si>
    <t>00010503010010000110</t>
  </si>
  <si>
    <t>18210503010010000110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</si>
  <si>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</si>
  <si>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</si>
  <si>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18210503010011000110</t>
  </si>
  <si>
    <t>Единый сельскохозяйственный налог (пени по соответствующему платежу)</t>
  </si>
  <si>
    <t>00010503010012100110</t>
  </si>
  <si>
    <t>18210503010012100110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</si>
  <si>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</si>
  <si>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00010503010013000110</t>
  </si>
  <si>
    <t>18210503010013000110</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</si>
  <si>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</si>
  <si>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</si>
  <si>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</si>
  <si>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</si>
  <si>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</si>
  <si>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</si>
  <si>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</si>
  <si>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</si>
  <si>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18210504020021000110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</si>
  <si>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</si>
  <si>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</si>
  <si>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</si>
  <si>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</si>
  <si>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</si>
  <si>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</si>
  <si>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</si>
  <si>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18210803010010000110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</si>
  <si>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</si>
  <si>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</si>
  <si>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18210803010011000110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</si>
  <si>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</si>
  <si>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</si>
  <si>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</si>
  <si>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</si>
  <si>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</si>
  <si>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</si>
  <si>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</si>
  <si>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</si>
  <si>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</si>
  <si>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муниципальных районов</t>
  </si>
  <si>
    <t>00011103050050000120</t>
  </si>
  <si>
    <t>90811103050050000120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</si>
  <si>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</si>
  <si>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</si>
  <si>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</si>
  <si>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</si>
  <si>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</si>
  <si>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</si>
  <si>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90911105013130000120</t>
  </si>
  <si>
    <t>95011105013130000120</t>
  </si>
  <si>
    <t>95111105013130000120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</si>
  <si>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</si>
  <si>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</si>
  <si>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</si>
  <si>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</si>
  <si>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90911105035050000120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</si>
  <si>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</si>
  <si>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</si>
  <si>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</si>
  <si>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</si>
  <si>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</si>
  <si>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</si>
  <si>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90911109045050000120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</si>
  <si>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</si>
  <si>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</si>
  <si>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</si>
  <si>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</si>
  <si>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</si>
  <si>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</si>
  <si>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04811201010010000120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</si>
  <si>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</si>
  <si>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00011201010016000120</t>
  </si>
  <si>
    <t>04811201010016000120</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</si>
  <si>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</si>
  <si>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</si>
  <si>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</si>
  <si>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00011201030010000120</t>
  </si>
  <si>
    <t>04811201030010000120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</si>
  <si>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</si>
  <si>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00011201030016000120</t>
  </si>
  <si>
    <t>04811201030016000120</t>
  </si>
  <si>
    <t>Плата за размещение отходов производства и потребления</t>
  </si>
  <si>
    <t>00011201040010000120</t>
  </si>
  <si>
    <t>04811201040010000120</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</si>
  <si>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</si>
  <si>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</si>
  <si>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</si>
  <si>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</si>
  <si>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</si>
  <si>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районов</t>
  </si>
  <si>
    <t>00011301995050000130</t>
  </si>
  <si>
    <t>90211301995050000130</t>
  </si>
  <si>
    <t>Прочие доходы от оказания платных услуг (работ) получателями средств бюджетов муниципальных районов (родительская плата за содержание ребенка в образовательных учреждениях)</t>
  </si>
  <si>
    <t>00011301995050001130</t>
  </si>
  <si>
    <t>90311301995050001130</t>
  </si>
  <si>
    <t>Прочие доходы от оказания платных услуг (работ) получателями средств бюджетов муниципальных районов (родительская плата за оказание услуг по организации и обеспечению летнего отдыха и оздоровление детей в образовательных учреждениях)</t>
  </si>
  <si>
    <t>00011301995050005130</t>
  </si>
  <si>
    <t>90311301995050005130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</si>
  <si>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</si>
  <si>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</si>
  <si>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</si>
  <si>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</si>
  <si>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</si>
  <si>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</si>
  <si>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муниципальных районов (возврат деби-торской задолженности прошлых лет)</t>
  </si>
  <si>
    <t>00011302995050004130</t>
  </si>
  <si>
    <t>90311302995050004130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</si>
  <si>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</si>
  <si>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</si>
  <si>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</si>
  <si>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</si>
  <si>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</si>
  <si>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</si>
  <si>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</si>
  <si>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</si>
  <si>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95011406013130000430</t>
  </si>
  <si>
    <t>95111406013130000430</t>
  </si>
  <si>
    <t>ШТРАФЫ, САНКЦИИ, ВОЗМЕЩЕНИЕ УЩЕРБА</t>
  </si>
  <si>
    <t>00011600000000000000</t>
  </si>
  <si>
    <t>Денежные взыскания (штрафы) за нарушение законодательства о налогах и сборах</t>
  </si>
  <si>
    <t>00011603000000000140</t>
  </si>
  <si>
    <t>00011603010010000140</t>
  </si>
  <si>
    <t>00011603010016000140</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</si>
  <si>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</si>
  <si>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</si>
  <si>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</si>
  <si>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</si>
  <si>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</si>
  <si>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18211603030016000140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</si>
  <si>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</si>
  <si>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</si>
  <si>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</si>
  <si>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00011606000016000140</t>
  </si>
  <si>
    <t>18211606000016000140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</si>
  <si>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</si>
  <si>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</si>
  <si>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</si>
  <si>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</si>
  <si>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</si>
  <si>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</si>
  <si>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</si>
  <si>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</si>
  <si>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</si>
  <si>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об охране и использовании животного мира</t>
  </si>
  <si>
    <t>00011625030010000140</t>
  </si>
  <si>
    <t>Денежные взыскания (штрафы) за нарушение законодательства в области охраны окружающей среды</t>
  </si>
  <si>
    <t>00011625050010000140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</si>
  <si>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</si>
  <si>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00011625050016000140</t>
  </si>
  <si>
    <t>14111625050016000140</t>
  </si>
  <si>
    <t>Денежные взыскания (штрафы) за нарушение земельного законодательства</t>
  </si>
  <si>
    <t>00011625060010000140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</si>
  <si>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</si>
  <si>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</si>
  <si>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32111625060016000140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</si>
  <si>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</si>
  <si>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</si>
  <si>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</si>
  <si>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</si>
  <si>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14111628000016000140</t>
  </si>
  <si>
    <t>18811628000016000140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</si>
  <si>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</si>
  <si>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</si>
  <si>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</si>
  <si>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</si>
  <si>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</si>
  <si>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</si>
  <si>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</si>
  <si>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00011630014016000140</t>
  </si>
  <si>
    <t>18811630014016000140</t>
  </si>
  <si>
    <t>Прочие денежные взыскания (штрафы) за правонарушения в области дорожного движения</t>
  </si>
  <si>
    <t>00011630030010000140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</si>
  <si>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</si>
  <si>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00011630030016000140</t>
  </si>
  <si>
    <t>18811630030016000140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</si>
  <si>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</si>
  <si>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</si>
  <si>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</si>
  <si>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</si>
  <si>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83211633050050000140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</si>
  <si>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</si>
  <si>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</si>
  <si>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муниципальных районов</t>
  </si>
  <si>
    <t>00011635030050000140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</si>
  <si>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</si>
  <si>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00011635030056000140</t>
  </si>
  <si>
    <t>07611635030056000140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</si>
  <si>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</si>
  <si>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</si>
  <si>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</si>
  <si>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</si>
  <si>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18811643000016000140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</si>
  <si>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</si>
  <si>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</si>
  <si>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</si>
  <si>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</si>
  <si>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80911690050050000140</t>
  </si>
  <si>
    <t>84011690050050000140</t>
  </si>
  <si>
    <t>90511690050050000140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</si>
  <si>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</si>
  <si>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00011690050056000140</t>
  </si>
  <si>
    <t>07611690050056000140</t>
  </si>
  <si>
    <t>14111690050056000140</t>
  </si>
  <si>
    <t>18811690050056000140</t>
  </si>
  <si>
    <t>41511690050056000140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</si>
  <si>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</si>
  <si>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00011690050057000140</t>
  </si>
  <si>
    <t>17711690050057000140</t>
  </si>
  <si>
    <t>ПРОЧИЕ НЕНАЛОГОВЫЕ ДОХОДЫ</t>
  </si>
  <si>
    <t>00011700000000000000</t>
  </si>
  <si>
    <t>Прочие неналоговые доходы</t>
  </si>
  <si>
    <t>00011705000000000180</t>
  </si>
  <si>
    <t>Прочие неналоговые доходы бюджетов муниципальных районов</t>
  </si>
  <si>
    <t>00011705050050000180</t>
  </si>
  <si>
    <t>90911705050050000180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</si>
  <si>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</si>
  <si>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</si>
  <si>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</si>
  <si>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</si>
  <si>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</si>
  <si>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</si>
  <si>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</si>
  <si>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</si>
  <si>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</si>
  <si>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Прочие субсидии</t>
  </si>
  <si>
    <t>Прочие субсидии бюджетам муниципальных районов</t>
  </si>
  <si>
    <t>2102</t>
  </si>
  <si>
    <t>2104</t>
  </si>
  <si>
    <t>2103</t>
  </si>
  <si>
    <t>Субвенции бюджетам бюджетной системы Российской Федерации</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</si>
  <si>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</si>
  <si>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</si>
  <si>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</si>
  <si>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</si>
  <si>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2201</t>
  </si>
  <si>
    <t>2202</t>
  </si>
  <si>
    <t>2203</t>
  </si>
  <si>
    <t>2204</t>
  </si>
  <si>
    <t>2205</t>
  </si>
  <si>
    <t>2206</t>
  </si>
  <si>
    <t>2207</t>
  </si>
  <si>
    <t>2208</t>
  </si>
  <si>
    <t>Прочие субвенции</t>
  </si>
  <si>
    <t>Прочие субвенции бюджетам муниципальных районов</t>
  </si>
  <si>
    <t>2209</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</si>
  <si>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</si>
  <si>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</si>
  <si>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</si>
  <si>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2303</t>
  </si>
  <si>
    <t>2304</t>
  </si>
  <si>
    <t>ПРОЧИЕ БЕЗВОЗМЕЗДНЫЕ ПОСТУПЛЕНИЯ</t>
  </si>
  <si>
    <t>00020700000000000000</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</si>
  <si>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</si>
  <si>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</si>
  <si>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</si>
  <si>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</si>
  <si>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</si>
  <si>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</si>
  <si>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Наименование кода поступлений в бюджет, группы, подгруппы, статьи, подстатьи, элемента, группы, подвида, аналитической группы подвида доходов</t>
  </si>
  <si>
    <t>наименование</t>
  </si>
  <si>
    <t>Наименование главного администратора доходов МО "Тайшетский район"</t>
  </si>
  <si>
    <t>Классификация доходов бюджетов</t>
  </si>
  <si>
    <t>код</t>
  </si>
  <si>
    <t>Прогноз доходов бюджета</t>
  </si>
  <si>
    <t>тыс.руб.</t>
  </si>
  <si>
    <t>34,25 ¹                                   31,25 ²</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</si>
  <si>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</si>
  <si>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Управление Федеральной налоговой службы по Иркутской области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</si>
  <si>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</si>
  <si>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</si>
  <si>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</si>
  <si>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</si>
  <si>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</si>
  <si>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</si>
  <si>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</si>
  <si>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Федерального казначейства по Иркутской области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</si>
  <si>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</si>
  <si>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</si>
  <si>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</si>
  <si>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</si>
  <si>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</si>
  <si>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</si>
  <si>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</si>
  <si>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</si>
  <si>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</si>
  <si>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</si>
  <si>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</si>
  <si>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</si>
  <si>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</si>
  <si>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</si>
  <si>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</si>
  <si>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</si>
  <si>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</si>
  <si>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</si>
  <si>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</si>
  <si>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</si>
  <si>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</si>
  <si>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100</t>
  </si>
  <si>
    <t>50</t>
  </si>
  <si>
    <t>18210504020020000110</t>
  </si>
  <si>
    <t>Управление образования администрации Тайшетского района</t>
  </si>
  <si>
    <t>Уполномоченный орган местного самоуправления городского поселения</t>
  </si>
  <si>
    <t>Управление Росприроднадзора по Иркутской области</t>
  </si>
  <si>
    <t>Муниципальное учреждение Администрация Тайшетского района</t>
  </si>
  <si>
    <t xml:space="preserve">Прочие доходы от оказания платных услуг (работ) получателями средств бюджетов муниципальных районов </t>
  </si>
  <si>
    <t xml:space="preserve">Прочие доходы от компенсации затрат бюдже-тов муниципальных районов </t>
  </si>
  <si>
    <t>55</t>
  </si>
  <si>
    <t>Главное управление Министерства внутренних дел Российской Федерации по Иркутской области</t>
  </si>
  <si>
    <t>Контрольно-счетная палата Тайшетского района</t>
  </si>
  <si>
    <t>Генеральная прокуратура Российской Федерации</t>
  </si>
  <si>
    <t xml:space="preserve">Главное управление МЧС России по Иркутской области </t>
  </si>
  <si>
    <t>Министерство сельского хозяйства Иркутской области</t>
  </si>
  <si>
    <t>Управление Роспотребнадзора по Иркутской области</t>
  </si>
  <si>
    <t>Ангаро-Байкальское территориальное управление Федерального агентства по рыболовству</t>
  </si>
  <si>
    <t>Отдел по предоставлению гражданам субсидий на оплату жилья и коммунальных услуг администрации Тайшетского района</t>
  </si>
  <si>
    <t>Муниципальное казенное учреждение "Служба гражданской обороны и предупреждения чрезвычайных ситуаций в муниципальном образованиии "Тайшетский район"</t>
  </si>
  <si>
    <t>00011105013050000120</t>
  </si>
  <si>
    <t>90911105013050000120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</si>
  <si>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</si>
  <si>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</si>
  <si>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</si>
  <si>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90911105025050000120</t>
  </si>
  <si>
    <t>Плата по соглашениям об установлении сервитута в отношении земельных участков, государственная собственность на которые не разграничена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</si>
  <si>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</si>
  <si>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</si>
  <si>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</si>
  <si>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90911402053050000410</t>
  </si>
  <si>
    <t>00011406013050000430</t>
  </si>
  <si>
    <t>90911406013050000430</t>
  </si>
  <si>
    <t>Невыясненные поступления, зачисляемые в бюджеты муниципальных районов</t>
  </si>
  <si>
    <t>00011701050050000180</t>
  </si>
  <si>
    <t>90811701050050000180</t>
  </si>
  <si>
    <t>00020220077050000151</t>
  </si>
  <si>
    <t>Муниципальное учреждение "Управление строительства, архитектуры и инвестиционной политики администрации Тайшетского района"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</si>
  <si>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</si>
  <si>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Субсидия бюджетам муниципальных районов на поддержку отрасли культуры</t>
  </si>
  <si>
    <t>Дотации бюджетам муниципальных районов на выравнивание бюджетной обеспеченности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</si>
  <si>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</si>
  <si>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проверка</t>
  </si>
  <si>
    <t>Начальник финансового управления администрации Тайшетского района</t>
  </si>
  <si>
    <t>Единица измерения:  тыс. руб.</t>
  </si>
  <si>
    <t>Налог, взимаемый в связи с применением упрощенной системы налогообложения</t>
  </si>
  <si>
    <t>00010501000000000110</t>
  </si>
  <si>
    <t>00010501010010000110</t>
  </si>
  <si>
    <t>00010501011010000110</t>
  </si>
  <si>
    <t>00010501011011000110</t>
  </si>
  <si>
    <t>18210501011011000110</t>
  </si>
  <si>
    <t>00010501011012100110</t>
  </si>
  <si>
    <t>18210501011012100110</t>
  </si>
  <si>
    <t>00010501011013000110</t>
  </si>
  <si>
    <t>18210501011013000110</t>
  </si>
  <si>
    <t>00010501011014000110</t>
  </si>
  <si>
    <t>00010501020010000110</t>
  </si>
  <si>
    <t>00010501021010000110</t>
  </si>
  <si>
    <t>00010501021011000110</t>
  </si>
  <si>
    <t>18210501021011000110</t>
  </si>
  <si>
    <t>00010501021012100110</t>
  </si>
  <si>
    <t>18210501021012100110</t>
  </si>
  <si>
    <t>00010501021013000110</t>
  </si>
  <si>
    <t>18210501021013000110</t>
  </si>
  <si>
    <t>00010501021014000110</t>
  </si>
  <si>
    <t>18210501021014000110</t>
  </si>
  <si>
    <t>00010501050011000110</t>
  </si>
  <si>
    <t>18210501050011000110</t>
  </si>
  <si>
    <t>00010501050012100110</t>
  </si>
  <si>
    <t>18210501050012100110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</si>
  <si>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</si>
  <si>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00010803010014000110</t>
  </si>
  <si>
    <t>18210803010014000110</t>
  </si>
  <si>
    <t>00011105020000000120</t>
  </si>
  <si>
    <t>90211302995050004130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</si>
  <si>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</si>
  <si>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</si>
  <si>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00011402050050000410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</si>
  <si>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</si>
  <si>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</si>
  <si>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</si>
  <si>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</si>
  <si>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</si>
  <si>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</si>
  <si>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95111406313130000430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</si>
  <si>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</si>
  <si>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</si>
  <si>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00011608020016000140</t>
  </si>
  <si>
    <t>Невыясненные поступления</t>
  </si>
  <si>
    <t>00011701000000000180</t>
  </si>
  <si>
    <t>2105</t>
  </si>
  <si>
    <t>00020220000000000151</t>
  </si>
  <si>
    <t>00020220077000000151</t>
  </si>
  <si>
    <t>Субсидии бюджетам муниципальных районов на софинансирование капитальных вложений в объекты муниципальной собственности</t>
  </si>
  <si>
    <t>Субсидия бюджетам на поддержку отрасли культуры</t>
  </si>
  <si>
    <t>2107</t>
  </si>
  <si>
    <t>2108</t>
  </si>
  <si>
    <t>2106</t>
  </si>
  <si>
    <t>Фактическое исполнение доходов бюджета в 2017 году</t>
  </si>
  <si>
    <t>182 1 01 02040 01 0000 110</t>
  </si>
  <si>
    <t>182 1 0 102030 01 0000 110</t>
  </si>
  <si>
    <t>182 1 01 02010 01 0000 110</t>
  </si>
  <si>
    <t>182 1 01 02020 01 0000 110</t>
  </si>
  <si>
    <t>182 1 05 02010 02 0000 110</t>
  </si>
  <si>
    <t>182 1 05 01050 01 0000 110</t>
  </si>
  <si>
    <t>182 1 05 02020 02 0000 110</t>
  </si>
  <si>
    <t>182 1 05 03010 01 0000 110</t>
  </si>
  <si>
    <t>182 1 05 03020 01 0000 110</t>
  </si>
  <si>
    <t>182 1 05 04020 02 0000 110</t>
  </si>
  <si>
    <t>000 1 08 03010 01 0000 110</t>
  </si>
  <si>
    <t>182 1 08 03010 01 0000 110</t>
  </si>
  <si>
    <t>000 1 08 07150 01 0000 110</t>
  </si>
  <si>
    <t>909 1 08 07150 01 0000 110</t>
  </si>
  <si>
    <t>000 1 11 03050 05 0000 120</t>
  </si>
  <si>
    <t>908 1 11 03050 05 0000 120</t>
  </si>
  <si>
    <t>000 1 11 05013 05 0000 120</t>
  </si>
  <si>
    <t>909 1 11 05013 05 0000 120</t>
  </si>
  <si>
    <t>909 1 11 05013 13 0000 120</t>
  </si>
  <si>
    <t>000 1 11 05013 13 0000 120</t>
  </si>
  <si>
    <t>950 1 11 05013 13 0000 120</t>
  </si>
  <si>
    <t>951 1 11 05013 13 0000 120</t>
  </si>
  <si>
    <t>000 1 11 05025 05 0000 120</t>
  </si>
  <si>
    <t>909 1 11 05025 05 0000 120</t>
  </si>
  <si>
    <t>000 1 11 05035 05 0000 120</t>
  </si>
  <si>
    <t>909 1 11 05035 05 0000 120</t>
  </si>
  <si>
    <t>000 1 11 09045 05 0000 120</t>
  </si>
  <si>
    <t>909 1 11 09045 05 0000 120</t>
  </si>
  <si>
    <t>000 1 12 01010 01 0000 120</t>
  </si>
  <si>
    <t>048 1 12 01010 01 0000 120</t>
  </si>
  <si>
    <t>000 1 12 01020 01 0000 120</t>
  </si>
  <si>
    <t>048 1 12 01020 01 0000 120</t>
  </si>
  <si>
    <t>000 1 12 01030 01 0000 120</t>
  </si>
  <si>
    <t>048 1 12 01030 01 0000 120</t>
  </si>
  <si>
    <t>000 1 13 01995 05 0000 130</t>
  </si>
  <si>
    <t>902 1 13 01995 05 0000 130</t>
  </si>
  <si>
    <t>903 1 13 01995 05 0000 130</t>
  </si>
  <si>
    <t>000 1 13 02995 05 0000 130</t>
  </si>
  <si>
    <t>902 1 13 02995 05 0000 130</t>
  </si>
  <si>
    <t>903 1 13 02995 05 0000 130</t>
  </si>
  <si>
    <t>905 1 13 02995 05 0000 130</t>
  </si>
  <si>
    <t>000 1 14 02053 05 0000 410</t>
  </si>
  <si>
    <t>909 1 14 02053 05 0000 410</t>
  </si>
  <si>
    <t>000 1 14 06013 05 0000 430</t>
  </si>
  <si>
    <t>909 1 14 06013 05 0000 430</t>
  </si>
  <si>
    <t>000 1 14 06013 13 0000 430</t>
  </si>
  <si>
    <t>950 1 14 06013 13 0000 430</t>
  </si>
  <si>
    <t>951 1 14 06013 13 0000 430</t>
  </si>
  <si>
    <t>000 1 16 03030 01 0000 140</t>
  </si>
  <si>
    <t>000 1 16 06000 01 0000 140</t>
  </si>
  <si>
    <t>000 1 16 08010 01 0000 140</t>
  </si>
  <si>
    <t>188 1 16 08010 01 0000 140</t>
  </si>
  <si>
    <t>000 1 16 25030 01 0000 140</t>
  </si>
  <si>
    <t>141 1 16 25050 01 0000 140</t>
  </si>
  <si>
    <t>000 1 16 28000 01 0000 140</t>
  </si>
  <si>
    <t>000 1 16 30014 01 0000 140</t>
  </si>
  <si>
    <t>188 1 16 30014 01 0000 140</t>
  </si>
  <si>
    <t>000 1 16 30030 01 0000 140</t>
  </si>
  <si>
    <t>188 1 16 30030 01 0000 140</t>
  </si>
  <si>
    <t>000 1 16 33050 05 0000 140</t>
  </si>
  <si>
    <t>000 1 16 35030 05 0000 140</t>
  </si>
  <si>
    <t>076 1 16 35030 05 0000 140</t>
  </si>
  <si>
    <t>000 1 16 43000 01 0000 140</t>
  </si>
  <si>
    <t>000 1 16 90050 05 0000 140</t>
  </si>
  <si>
    <t>809 1 16 90050 05 0000 140</t>
  </si>
  <si>
    <t>905 1 16 90050 05 0000 140</t>
  </si>
  <si>
    <t>000 1 17 01050 05 0000 180</t>
  </si>
  <si>
    <t>908 1 17 01050 05 0000 180</t>
  </si>
  <si>
    <t>000 1 17 05050 05 0000 180</t>
  </si>
  <si>
    <t>909 1 17 05050 05 0000 180</t>
  </si>
  <si>
    <t/>
  </si>
  <si>
    <t>Период для фактических показателей:</t>
  </si>
  <si>
    <t>Период для плановых показателей:</t>
  </si>
  <si>
    <t>Поступление за Сентябрь</t>
  </si>
  <si>
    <t>НАЛОГИ НА ТОВАРЫ (РАБОТЫ, УСЛУГИ), РЕАЛИЗУЕМЫЕ НА ТЕРРИТОРИИ РОССИЙСКОЙ ФЕДЕРАЦИИ</t>
  </si>
  <si>
    <t>00010300000000000000</t>
  </si>
  <si>
    <t>00010302000010000110</t>
  </si>
  <si>
    <t>00010302230010000110</t>
  </si>
  <si>
    <t>00010302240010000110</t>
  </si>
  <si>
    <t>00010302250010000110</t>
  </si>
  <si>
    <t>00010302260010000110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</si>
  <si>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</si>
  <si>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</si>
  <si>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18210501021010000110</t>
  </si>
  <si>
    <t>00010504020022100110</t>
  </si>
  <si>
    <t>18210504020022100110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</si>
  <si>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</si>
  <si>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Плата за размещение отходов производства</t>
  </si>
  <si>
    <t>00011201041010000120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</si>
  <si>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</si>
  <si>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00011201041016000120</t>
  </si>
  <si>
    <t>04811201041016000120</t>
  </si>
  <si>
    <t>Плата за размещение твердых коммунальных отходов</t>
  </si>
  <si>
    <t>00011201042010000120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</si>
  <si>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</si>
  <si>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00011201042016000120</t>
  </si>
  <si>
    <t>04811201042016000120</t>
  </si>
  <si>
    <t>90511302995050004130</t>
  </si>
  <si>
    <t>90911302995050004130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</si>
  <si>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</si>
  <si>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14111608020016000140</t>
  </si>
  <si>
    <t>90911633050050000140</t>
  </si>
  <si>
    <t>84311643000010000140</t>
  </si>
  <si>
    <t>18211643000016000140</t>
  </si>
  <si>
    <t>81311690050050000140</t>
  </si>
  <si>
    <t>84311690050050000140</t>
  </si>
  <si>
    <t>Дотации на выравнивание бюджетной обеспеченности</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</si>
  <si>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</si>
  <si>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</si>
  <si>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2109</t>
  </si>
  <si>
    <t>2110</t>
  </si>
  <si>
    <t>2111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</si>
  <si>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</si>
  <si>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2301</t>
  </si>
  <si>
    <t>2302</t>
  </si>
  <si>
    <t>182 1 05 01011 01 0000 110</t>
  </si>
  <si>
    <t>182 1 05 01012 01 0000 110</t>
  </si>
  <si>
    <t>182 1 05 01021 01 0000 110</t>
  </si>
  <si>
    <t>182 1 05 01022 01 0000 110</t>
  </si>
  <si>
    <t>Уполномоченный орган  местного самоуправления городского поселения</t>
  </si>
  <si>
    <t xml:space="preserve">Плата за размещение отходов производства </t>
  </si>
  <si>
    <t>000 1 12 01041 01 0000 120</t>
  </si>
  <si>
    <t>048 1 12 01041 01 0000 120</t>
  </si>
  <si>
    <t>000 1 12 01042 01 0000 120</t>
  </si>
  <si>
    <t>048 1 12 01042 01 0000 120</t>
  </si>
  <si>
    <t xml:space="preserve">Плата за размещение твердых коммунальных отходов </t>
  </si>
  <si>
    <t>909 1 13 02995 05 0000 130</t>
  </si>
  <si>
    <t>910 1 13 02995 05 0000 130</t>
  </si>
  <si>
    <t>911 1 13 02995 05 0000 130</t>
  </si>
  <si>
    <t>Комитет по управлению муниципальным имуществом, строительству, архитектуре и жилищно-коммунальному хозяйству   администрации Тайшетского района</t>
  </si>
  <si>
    <t>Управление культуры, спорта и молодежной политики администрации Тайшетского района"</t>
  </si>
  <si>
    <t>951 1 14 06313 13 0000 430</t>
  </si>
  <si>
    <t>000 1 16 25050 01 0000 140</t>
  </si>
  <si>
    <t>909 1 16 33050 05 0000 140</t>
  </si>
  <si>
    <t>843 1 16 43000 01 6000 140</t>
  </si>
  <si>
    <t>Министерство лесного комплекса Иркутской области</t>
  </si>
  <si>
    <t>813 1 16 90050 05 0000 140</t>
  </si>
  <si>
    <t>Министерство имущественных отношений Иркутской области</t>
  </si>
  <si>
    <t>843 1 16 90050 05 0000 140</t>
  </si>
  <si>
    <t xml:space="preserve">Прочие неналоговые доходы </t>
  </si>
  <si>
    <t>910 1 17 05050 05 0000 180</t>
  </si>
  <si>
    <t>141 1 16 08020 01 0000 140</t>
  </si>
  <si>
    <t>000 1 16 08020 01 0000 140</t>
  </si>
  <si>
    <t>843 1 16 25030 01 0000 140</t>
  </si>
  <si>
    <t>34,25¹                                   31,25²</t>
  </si>
  <si>
    <t>911 2 19 05000 05 0000 150</t>
  </si>
  <si>
    <t>908 2 19 05000 05 0000 150</t>
  </si>
  <si>
    <t>907 2 19 60010 05 0000 150</t>
  </si>
  <si>
    <t>905 2 19 05000 05 0000 150</t>
  </si>
  <si>
    <t>903 2 19 05000 05 0000 150</t>
  </si>
  <si>
    <t>000 2 19 05000 05 0000 150</t>
  </si>
  <si>
    <t>903 2 07 05020 05 0000 150</t>
  </si>
  <si>
    <t>000 2 07 05020 05 0000 150</t>
  </si>
  <si>
    <t>912 2 02 40014 05 0000 150</t>
  </si>
  <si>
    <t>911 2 02 40014 05 0000 150</t>
  </si>
  <si>
    <t>905 2 02 40014 05 0000 150</t>
  </si>
  <si>
    <t>000 2 02 40014 05 0000 150</t>
  </si>
  <si>
    <t>903 2 02 39999 05 0000 150</t>
  </si>
  <si>
    <t>000 2 02 39999 05 0000 150</t>
  </si>
  <si>
    <t>905 2 02 35120 05 0000 150</t>
  </si>
  <si>
    <t>000 2 02 35120 05 0000 150</t>
  </si>
  <si>
    <t>905 2 02 30024 05 0000 150</t>
  </si>
  <si>
    <t>903 2 02 30024 05 0000 150</t>
  </si>
  <si>
    <t>000 2 02 30024 05 0000 150</t>
  </si>
  <si>
    <t>907 2 02 30022 05 0000 150</t>
  </si>
  <si>
    <t>000 2 02 30022 05 0000 150</t>
  </si>
  <si>
    <t>909 2 02 29999 05 0000 150</t>
  </si>
  <si>
    <t>908 2 02 29999 05 0000 150</t>
  </si>
  <si>
    <t>903 2 02 29999 05 0000 150</t>
  </si>
  <si>
    <t>902 2 02 29999 05 0000 150</t>
  </si>
  <si>
    <t>000 2 02 29999 05 0000 150</t>
  </si>
  <si>
    <t>902 2 02 25519 05 0000 150</t>
  </si>
  <si>
    <t>000 2 02 25519 05 0000 150</t>
  </si>
  <si>
    <t>902 2 02 25497 05 0000 150</t>
  </si>
  <si>
    <t>000 2 02 25497 05 0000 150</t>
  </si>
  <si>
    <t>000 2 02 20077 05 0000 150</t>
  </si>
  <si>
    <t>908 2 02 15002 05 0000 150</t>
  </si>
  <si>
    <t>000 2 02 15002 05 0000 150</t>
  </si>
  <si>
    <t>908 2 02 15001 05 0000 150</t>
  </si>
  <si>
    <t>000 2 02 15001 05 0000 150</t>
  </si>
  <si>
    <t>Оценка исполнения на 2019 год (текущий финансовый год)</t>
  </si>
  <si>
    <t>на 2020 год (очередной финансовый год)</t>
  </si>
  <si>
    <t>на 2021 год (первый год планового периода)</t>
  </si>
  <si>
    <t>на 2022 год (второй год планового периода)</t>
  </si>
  <si>
    <t>Поступление за Декабрь</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</si>
  <si>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</si>
  <si>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00010102010015000110</t>
  </si>
  <si>
    <t>18210102010015000110</t>
  </si>
  <si>
    <t>18210501011014000110</t>
  </si>
  <si>
    <t>00010501050010000110</t>
  </si>
  <si>
    <t>Единый сельскохозяйственный налог (за налоговые периоды, истекшие до 1 января 2011 года) (пени по соответствующему платежу)</t>
  </si>
  <si>
    <t>Плата за размещение отходов производства (пени по соответствующему платежу)</t>
  </si>
  <si>
    <t>00011201041012100120</t>
  </si>
  <si>
    <t>04811201041012100120</t>
  </si>
  <si>
    <t>90811302995050004130</t>
  </si>
  <si>
    <t>18811608010016000140</t>
  </si>
  <si>
    <t>00011608020010000140</t>
  </si>
  <si>
    <t>84311625030010000140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</si>
  <si>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</si>
  <si>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00011625030016000140</t>
  </si>
  <si>
    <t>07611625030016000140</t>
  </si>
  <si>
    <t>08111625060016000140</t>
  </si>
  <si>
    <t>90911690050050000140</t>
  </si>
  <si>
    <t>90920220077050000151</t>
  </si>
  <si>
    <t>2210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</si>
  <si>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</si>
  <si>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</si>
  <si>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</si>
  <si>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10010302231010000110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</si>
  <si>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</si>
  <si>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</si>
  <si>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10010302241010000110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</si>
  <si>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</si>
  <si>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</si>
  <si>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10010302251010000110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</si>
  <si>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</si>
  <si>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</si>
  <si>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10010302261010000110</t>
  </si>
  <si>
    <t>00010501012010000110</t>
  </si>
  <si>
    <t>00010501012013000110</t>
  </si>
  <si>
    <t>18210501012013000110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</si>
  <si>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</si>
  <si>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</si>
  <si>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</si>
  <si>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</si>
  <si>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</si>
  <si>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</si>
  <si>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18210502010020000110</t>
  </si>
  <si>
    <t>00010807150011000110</t>
  </si>
  <si>
    <t>90910807150011000110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</si>
  <si>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</si>
  <si>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</si>
  <si>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00011105310000000120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</si>
  <si>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</si>
  <si>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</si>
  <si>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90911105313050000120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</si>
  <si>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</si>
  <si>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</si>
  <si>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</si>
  <si>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</si>
  <si>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</si>
  <si>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</si>
  <si>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90911107015050000120</t>
  </si>
  <si>
    <t>ДОХОДЫ ОТ ОКАЗАНИЯ ПЛАТНЫХ УСЛУГ И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</si>
  <si>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</si>
  <si>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</si>
  <si>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</si>
  <si>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</si>
  <si>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90911406025050000430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</si>
  <si>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</si>
  <si>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84311625030016000140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</si>
  <si>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</si>
  <si>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</si>
  <si>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</si>
  <si>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</si>
  <si>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</si>
  <si>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00011625074056000140</t>
  </si>
  <si>
    <t>18811625074056000140</t>
  </si>
  <si>
    <t>18211628000016000140</t>
  </si>
  <si>
    <t>84311635030050000140</t>
  </si>
  <si>
    <t>17711643000016000140</t>
  </si>
  <si>
    <t>84311643000016000140</t>
  </si>
  <si>
    <t>17711690050056000140</t>
  </si>
  <si>
    <t>18211690050056000140</t>
  </si>
  <si>
    <t>90311701050050000180</t>
  </si>
  <si>
    <t>90311705050050000180</t>
  </si>
  <si>
    <t>00020210000000000150</t>
  </si>
  <si>
    <t>00020215001000000150</t>
  </si>
  <si>
    <t>00020215001050000150</t>
  </si>
  <si>
    <t>90820215001050000150</t>
  </si>
  <si>
    <t>00020215002000000150</t>
  </si>
  <si>
    <t>00020215002050000150</t>
  </si>
  <si>
    <t>90820215002050000150</t>
  </si>
  <si>
    <t>00020220000000000150</t>
  </si>
  <si>
    <t>00020220077000000150</t>
  </si>
  <si>
    <t>00020220077050000150</t>
  </si>
  <si>
    <t>90920220077050000150</t>
  </si>
  <si>
    <t>2113</t>
  </si>
  <si>
    <t>2115</t>
  </si>
  <si>
    <t>00020225497000000150</t>
  </si>
  <si>
    <t>00020225497050000150</t>
  </si>
  <si>
    <t>90220225497050000150</t>
  </si>
  <si>
    <t>00020225519000000150</t>
  </si>
  <si>
    <t>00020225519050000150</t>
  </si>
  <si>
    <t>90220225519050000150</t>
  </si>
  <si>
    <t>00020229999000000150</t>
  </si>
  <si>
    <t>00020229999050000150</t>
  </si>
  <si>
    <t>90220229999050000150</t>
  </si>
  <si>
    <t>90320229999050000150</t>
  </si>
  <si>
    <t>2117</t>
  </si>
  <si>
    <t>2118</t>
  </si>
  <si>
    <t>90820229999050000150</t>
  </si>
  <si>
    <t>2116</t>
  </si>
  <si>
    <t>90920229999050000150</t>
  </si>
  <si>
    <t>2119</t>
  </si>
  <si>
    <t>2120</t>
  </si>
  <si>
    <t>00020230000000000150</t>
  </si>
  <si>
    <t>00020230022000000150</t>
  </si>
  <si>
    <t>00020230022050000150</t>
  </si>
  <si>
    <t>90720230022050000150</t>
  </si>
  <si>
    <t>00020230024000000150</t>
  </si>
  <si>
    <t>00020230024050000150</t>
  </si>
  <si>
    <t>90320230024050000150</t>
  </si>
  <si>
    <t>90520230024050000150</t>
  </si>
  <si>
    <t>90920230024050000150</t>
  </si>
  <si>
    <t>00020235120000000150</t>
  </si>
  <si>
    <t>00020235120050000150</t>
  </si>
  <si>
    <t>90520235120050000150</t>
  </si>
  <si>
    <t>00020239999000000150</t>
  </si>
  <si>
    <t>00020239999050000150</t>
  </si>
  <si>
    <t>90320239999050000150</t>
  </si>
  <si>
    <t>00020240000000000150</t>
  </si>
  <si>
    <t>00020240014000000150</t>
  </si>
  <si>
    <t>00020240014050000150</t>
  </si>
  <si>
    <t>90520240014050000150</t>
  </si>
  <si>
    <t>90820240014050000150</t>
  </si>
  <si>
    <t>90920240014050000150</t>
  </si>
  <si>
    <t>91120240014050000150</t>
  </si>
  <si>
    <t>91220240014050000150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</si>
  <si>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</si>
  <si>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</si>
  <si>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</si>
  <si>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</si>
  <si>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90820249999050000150</t>
  </si>
  <si>
    <t>2305</t>
  </si>
  <si>
    <t>2306</t>
  </si>
  <si>
    <t>00020705000050000150</t>
  </si>
  <si>
    <t>00020705020050000150</t>
  </si>
  <si>
    <t>90320705020050000150</t>
  </si>
  <si>
    <t>00020705030050000150</t>
  </si>
  <si>
    <t>90220705030050000150</t>
  </si>
  <si>
    <t>90320705030050000150</t>
  </si>
  <si>
    <t>00021900000050000150</t>
  </si>
  <si>
    <t>00021960010050000150</t>
  </si>
  <si>
    <t>90321960010050000150</t>
  </si>
  <si>
    <t>90521960010050000150</t>
  </si>
  <si>
    <t>90721960010050000150</t>
  </si>
  <si>
    <t>90821960010050000150</t>
  </si>
  <si>
    <t>90921960010050000150</t>
  </si>
  <si>
    <t>91221960010050000150</t>
  </si>
  <si>
    <t>000 1 01 02010 01 0000 110</t>
  </si>
  <si>
    <t>000 1 01 02020 01 0000 110</t>
  </si>
  <si>
    <t>000 1 0 102030 01 0000 110</t>
  </si>
  <si>
    <t>000 1 01 02040 01 0000 110</t>
  </si>
  <si>
    <t>000 1 03 02230 01 0000 110</t>
  </si>
  <si>
    <t>000 1 03 02240 01 0000 110</t>
  </si>
  <si>
    <t>000 1 03 02250 01 0000 110</t>
  </si>
  <si>
    <t>000 1 03 02260 01 0000 110</t>
  </si>
  <si>
    <t>000 1 05 01010 01 0000 110</t>
  </si>
  <si>
    <t>000 1 05 01050 01 0000 110</t>
  </si>
  <si>
    <t>000 1 05 01020 01 0000 110</t>
  </si>
  <si>
    <t>000 1 05 02010 02 0000 110</t>
  </si>
  <si>
    <t>000 1 05 02020 02 0000 110</t>
  </si>
  <si>
    <t>000 1 05 03020 01 0000 110</t>
  </si>
  <si>
    <t>000 1 05 04020 02 0000 110</t>
  </si>
  <si>
    <t>908 1 13 02995 05 0000 130</t>
  </si>
  <si>
    <t>912 1 13 02995 05 0000 130</t>
  </si>
  <si>
    <t>000 1 14 06313 13 0000 430</t>
  </si>
  <si>
    <t>909 1 16 90050 05 0000 140</t>
  </si>
  <si>
    <t>908 1 17 05050 05 0000 180</t>
  </si>
  <si>
    <t>909 2 02 20077 05 0000 150</t>
  </si>
  <si>
    <t>908 2 02 40014 05 0000 150</t>
  </si>
  <si>
    <t>902 2 19 05000 05 0000 150</t>
  </si>
  <si>
    <t>909 1 11 05313 05 0000 120</t>
  </si>
  <si>
    <t>000 1 11 05313 05 0000 120</t>
  </si>
  <si>
    <t>909 1 11 07015 05 0000 120</t>
  </si>
  <si>
    <t>000 1 11 07015 05 0000 120</t>
  </si>
  <si>
    <t>909 1 14 06025 05 0000 430</t>
  </si>
  <si>
    <t>000 1 14 06025 05 0000 430</t>
  </si>
  <si>
    <t>843 1 16 35030 05 0000 140</t>
  </si>
  <si>
    <t>177 1 16 43000 01 6000 140</t>
  </si>
  <si>
    <t>903 1 17 01050 05 0000 180</t>
  </si>
  <si>
    <t>903 1 17 05050 05 0000 180</t>
  </si>
  <si>
    <t>909 2 02 30024 05 0000 150</t>
  </si>
  <si>
    <t>908 2 02 49999 05 0000 150</t>
  </si>
  <si>
    <t>000 2 02 49999 05 0000 150</t>
  </si>
  <si>
    <t>909 2 19 05000 05 0000 150</t>
  </si>
  <si>
    <t>912 2 19 05000 05 0000 150</t>
  </si>
  <si>
    <t>О.В. Фокина</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</si>
  <si>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</si>
  <si>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</si>
  <si>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</si>
  <si>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</si>
  <si>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</si>
  <si>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100 1 03 02261 01 0000 110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</si>
  <si>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</si>
  <si>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проведение Всероссийской переписи населения 2020 года</t>
  </si>
  <si>
    <t>000 2 02 35469 05 0000 150</t>
  </si>
  <si>
    <t>905 2 02 35469 05 0000 150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</si>
  <si>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</si>
  <si>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</si>
  <si>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</si>
  <si>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000 1 14 06313 05 0000 430</t>
  </si>
  <si>
    <t>909 1 14 06313 05 0000 430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</si>
  <si>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</si>
  <si>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000 2 02 25255 05 0000 150</t>
  </si>
  <si>
    <t>909 2 02 25255 05 0000 150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</si>
  <si>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</si>
  <si>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902 2 02 25467 05 0000 150</t>
  </si>
  <si>
    <t>000 2 02 25467 05 0000 150</t>
  </si>
  <si>
    <t>Реестр источников доходов бюджета МО "Тайшетский район" на 2021 год и плановый период 2022 и 2023 годов</t>
  </si>
  <si>
    <t>000 1 16 03010 01 6000 140</t>
  </si>
  <si>
    <t xml:space="preserve">Управление Федеральной налоговой службы по Иркутской области </t>
  </si>
  <si>
    <t>182 1 16 03010 01 6000 140</t>
  </si>
  <si>
    <t>Кассовое поступление в текущем финансовом году (по состоянию на 1 октября 2020 года)</t>
  </si>
  <si>
    <t>182 1 16 03030  01 0000 140</t>
  </si>
  <si>
    <t>076 1 16 25030 01 0000 140</t>
  </si>
  <si>
    <t>182 1 16 06000  01 0000 140</t>
  </si>
  <si>
    <t>161 1 16 33050 05 0000 140</t>
  </si>
  <si>
    <t>Управление Федеральной антимонопольной службы по Иркутской области</t>
  </si>
  <si>
    <t>076 1 16 90050 05 6000 140</t>
  </si>
  <si>
    <t>141 1 16 90050 05 6000 140</t>
  </si>
  <si>
    <t>177 1 16 90050 05 6000 140</t>
  </si>
  <si>
    <t>182 1 16 90050 05 6000 140</t>
  </si>
  <si>
    <t>415 1 16 90050 05 6000 140</t>
  </si>
  <si>
    <t>188 1 16 90050 05 6000 140</t>
  </si>
  <si>
    <t xml:space="preserve">188 1 16 430000 1 6000 140  </t>
  </si>
  <si>
    <t xml:space="preserve">Главное управление Министерства внутренних дел Российской Федерации по Иркутской области </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</si>
  <si>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</si>
  <si>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000 1 11 05314 13 0000 120</t>
  </si>
  <si>
    <t>951 1 11 05314 13 0000 120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</si>
  <si>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</si>
  <si>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</si>
  <si>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</si>
  <si>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</si>
  <si>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</si>
  <si>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</si>
  <si>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806 1 16 01053 01 0000 140</t>
  </si>
  <si>
    <t>837 1 16 01053 01 0000 140</t>
  </si>
  <si>
    <t>Министерство социального развития, опеки и попечительства Иркутской области</t>
  </si>
  <si>
    <t>Агентство по обеспечению деятельности мировых судей Иркутской области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</si>
  <si>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</si>
  <si>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</si>
  <si>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</si>
  <si>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</si>
  <si>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</si>
  <si>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</si>
  <si>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806 1 16 01063 01 0000 140</t>
  </si>
  <si>
    <t>837 1 16 01063 01 0000 140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</si>
  <si>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</si>
  <si>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</si>
  <si>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</si>
  <si>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</si>
  <si>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</si>
  <si>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837 1 16 01073 01 0000 140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</si>
  <si>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</si>
  <si>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</si>
  <si>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000 1 16 01083 0 10000 140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</si>
  <si>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</si>
  <si>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</si>
  <si>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</si>
  <si>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837 1 16 01083 0 10000 140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</si>
  <si>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</si>
  <si>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</si>
  <si>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</si>
  <si>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</si>
  <si>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837 1 16 01143 01 0000 140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</si>
  <si>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</si>
  <si>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</si>
  <si>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</si>
  <si>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</si>
  <si>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000 1 16 01153 01 0000 140</t>
  </si>
  <si>
    <t>8371 16 01153 01 0000 140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</si>
  <si>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</si>
  <si>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</si>
  <si>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</si>
  <si>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</si>
  <si>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837 1 16 01173 01 0000 140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</si>
  <si>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</si>
  <si>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</si>
  <si>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</si>
  <si>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</si>
  <si>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</si>
  <si>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</si>
  <si>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</si>
  <si>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</si>
  <si>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</si>
  <si>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8371 16 01193 01 0000 140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</si>
  <si>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</si>
  <si>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</si>
  <si>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</si>
  <si>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</si>
  <si>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</si>
  <si>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(за пояление в общественных местах в состоянии алкогольного опьянения)</t>
  </si>
  <si>
    <t>000 1 16 01203 01 0000 140</t>
  </si>
  <si>
    <t>806 1 16 01203 01 0000 140</t>
  </si>
  <si>
    <t>837 1 16 01203 01 0000 140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</si>
  <si>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</si>
  <si>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</si>
  <si>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</si>
  <si>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</si>
  <si>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909 1 16 07010 05 0000 140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</si>
  <si>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</si>
  <si>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</si>
  <si>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</si>
  <si>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</si>
  <si>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(штрафы, зачисляемые в доходы бюджетов муниципальных районов, за нарушение законодательства Российской Федерации об охране и использования животного мира)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</si>
  <si>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(штрафы, зачисляемые в доходы бюджетов муниципальных районов, начисляемые по животному миру и среде их обитания)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</si>
  <si>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(суммы по возмещению вреда, причиненного лесам и находящимся в них природным объектам, подлежащие зачислению в бюджеты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</si>
  <si>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</si>
  <si>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076 1 16 10123 01 0000 140</t>
  </si>
  <si>
    <t>141 1 16 10123 01 0000 140</t>
  </si>
  <si>
    <t>177 1 16 10123 01 0000 140</t>
  </si>
  <si>
    <t>188 1 16 10123 01 0000 140</t>
  </si>
  <si>
    <t>415 1 16 10123 01 0000 140</t>
  </si>
  <si>
    <t xml:space="preserve">Главное управление Министерства внутренних дел Российской Федерации по Иркутской области 
</t>
  </si>
  <si>
    <t>905 1 16 10123 01 0000 140</t>
  </si>
  <si>
    <t>843 1 16 10123 01 0000 140</t>
  </si>
  <si>
    <t>182 1 16 10123 01 0000 140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</si>
  <si>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</si>
  <si>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</si>
  <si>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</si>
  <si>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(иски за нарушение правил охоты по животному миру и среде их обитания)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</si>
  <si>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(возмещение вреда, причиненного лесам и находящимся в них природным объектам)</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</si>
  <si>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(иные штрафы)</t>
  </si>
  <si>
    <t>843 1 16 11050 01 0000 140</t>
  </si>
  <si>
    <t>806 1 16 11050 01 0000 140</t>
  </si>
  <si>
    <t>909 2 02 49999 05 0000 150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</si>
  <si>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</si>
  <si>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</si>
  <si>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000 2 18 05030 05 0000 150</t>
  </si>
  <si>
    <t>902 2 18 05030 05 0000 150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</si>
  <si>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</si>
  <si>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</si>
  <si>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908 2 18 60010 05 0000 150</t>
  </si>
  <si>
    <t>Возврат остатков субсидий на реализацию мероприятий по обеспечению жильем молодых семей из бюджетов муниципальных районов</t>
  </si>
  <si>
    <t>000 2 19 25497 05 0000 150</t>
  </si>
  <si>
    <t>902 2 19 25497 05 0000 150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</si>
  <si>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</si>
  <si>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000 2 19 35120 05 0000 150</t>
  </si>
  <si>
    <t>905 2 19 35120 05 0000 150</t>
  </si>
  <si>
    <t>141 1 16 28000 01 6000 140</t>
  </si>
  <si>
    <t>182 1 16 28000 01 6000 140</t>
  </si>
  <si>
    <t>188  116 28000 01 6000 140</t>
  </si>
  <si>
    <t>27.01.2020</t>
  </si>
  <si>
    <t>с 01.01.2019 по 31.12.2019</t>
  </si>
  <si>
    <t>Поступление с 01.01.2019 по 31.12.2019</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</si>
  <si>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</si>
  <si>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00010502020023000110</t>
  </si>
  <si>
    <t>18210502020023000110</t>
  </si>
  <si>
    <t>90311301995050000130</t>
  </si>
  <si>
    <t>00011406313050000430</t>
  </si>
  <si>
    <t>90911406313050000430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</si>
  <si>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</si>
  <si>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00011633050056000140</t>
  </si>
  <si>
    <t>16111633050056000140</t>
  </si>
  <si>
    <t>невыясненные поступили 30.12 образование</t>
  </si>
  <si>
    <t>МКОУ Соляновская СОШ л/с 019030391 Оплата пени по МК № 5 от 31.08.2019г. НДС не облагается</t>
  </si>
  <si>
    <t>МКОУ Тальская ООШ л/с 019030421 Оплата пени по МК № 33 от 31.08.2019г. НДС не облагается</t>
  </si>
  <si>
    <t>МКОУ Бирюса СОШ л/с 019030031 Оплата пени по МК № 7 от 31.08.2019г. НДС не облагается</t>
  </si>
  <si>
    <t>не был закреплен код доходов</t>
  </si>
  <si>
    <t>2121</t>
  </si>
  <si>
    <t>2122</t>
  </si>
  <si>
    <t>90920705030050000150</t>
  </si>
  <si>
    <t>01.10.2020</t>
  </si>
  <si>
    <t>с 01.01.2020 по 30.09.2020</t>
  </si>
  <si>
    <t>с 01.01.2020 по 01.10.2020</t>
  </si>
  <si>
    <t>Поступление на 01.10.2020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</si>
  <si>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</si>
  <si>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</si>
  <si>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</si>
  <si>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</si>
  <si>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</si>
  <si>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00010501012012100110</t>
  </si>
  <si>
    <t>18210501012012100110</t>
  </si>
  <si>
    <t>00010501022010000110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</si>
  <si>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</si>
  <si>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00010501022011000110</t>
  </si>
  <si>
    <t>18210501022011000110</t>
  </si>
  <si>
    <t>00011105314130000120</t>
  </si>
  <si>
    <t>95111105314130000120</t>
  </si>
  <si>
    <t>Плата за выбросы загрязняющих веществ в атмосферный воздух стационарными объектами (пени по соответствующему платежу)</t>
  </si>
  <si>
    <t>00011201010012100120</t>
  </si>
  <si>
    <t>04811201010012100120</t>
  </si>
  <si>
    <t>90911302995050000130</t>
  </si>
  <si>
    <t>Административные штрафы, установленные Кодексом Российской Федерации об административных правонарушениях</t>
  </si>
  <si>
    <t>00011601000010000140</t>
  </si>
  <si>
    <t>00011601050010000140</t>
  </si>
  <si>
    <t>00011601053010000140</t>
  </si>
  <si>
    <t>80611601053010000140</t>
  </si>
  <si>
    <t>00011601053010035140</t>
  </si>
  <si>
    <t>80611601053010035140</t>
  </si>
  <si>
    <t>00011601053010059140</t>
  </si>
  <si>
    <t>83711601053010059140</t>
  </si>
  <si>
    <t>00011601053019000140</t>
  </si>
  <si>
    <t>83711601053019000140</t>
  </si>
  <si>
    <t>00011601060010000140</t>
  </si>
  <si>
    <t>00011601063010000140</t>
  </si>
  <si>
    <t>80611601063010000140</t>
  </si>
  <si>
    <t>00011601063010008140</t>
  </si>
  <si>
    <t>83711601063010008140</t>
  </si>
  <si>
    <t>00011601063010009140</t>
  </si>
  <si>
    <t>83711601063010009140</t>
  </si>
  <si>
    <t>00011601063010101140</t>
  </si>
  <si>
    <t>80611601063010101140</t>
  </si>
  <si>
    <t>83711601063010101140</t>
  </si>
  <si>
    <t>00011601070010000140</t>
  </si>
  <si>
    <t>00011601073010000140</t>
  </si>
  <si>
    <t>00011601073010017140</t>
  </si>
  <si>
    <t>83711601073010017140</t>
  </si>
  <si>
    <t>00011601073010027140</t>
  </si>
  <si>
    <t>83711601073010027140</t>
  </si>
  <si>
    <t>00011601080010000140</t>
  </si>
  <si>
    <t>00011601083010000140</t>
  </si>
  <si>
    <t>00011601083010028140</t>
  </si>
  <si>
    <t>83711601083010028140</t>
  </si>
  <si>
    <t>00011601083010037140</t>
  </si>
  <si>
    <t>83711601083010037140</t>
  </si>
  <si>
    <t>00011601083010281140</t>
  </si>
  <si>
    <t>83711601083010281140</t>
  </si>
  <si>
    <t>00011601140010000140</t>
  </si>
  <si>
    <t>00011601143010000140</t>
  </si>
  <si>
    <t>00011601143010002140</t>
  </si>
  <si>
    <t>83711601143010002140</t>
  </si>
  <si>
    <t>00011601143019000140</t>
  </si>
  <si>
    <t>83711601143019000140</t>
  </si>
  <si>
    <t>00011601150010000140</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</si>
  <si>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</si>
  <si>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</si>
  <si>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00011601153010005140</t>
  </si>
  <si>
    <t>83711601153010005140</t>
  </si>
  <si>
    <t>00011601153010006140</t>
  </si>
  <si>
    <t>83711601153010006140</t>
  </si>
  <si>
    <t>00011601153019000140</t>
  </si>
  <si>
    <t>83711601153019000140</t>
  </si>
  <si>
    <t>00011601170010000140</t>
  </si>
  <si>
    <t>00011601173010000140</t>
  </si>
  <si>
    <t>00011601173010007140</t>
  </si>
  <si>
    <t>83711601173010007140</t>
  </si>
  <si>
    <t>00011601173019000140</t>
  </si>
  <si>
    <t>83711601173019000140</t>
  </si>
  <si>
    <t>00011601190010000140</t>
  </si>
  <si>
    <t>00011601193010000140</t>
  </si>
  <si>
    <t>00011601193010005140</t>
  </si>
  <si>
    <t>83711601193010005140</t>
  </si>
  <si>
    <t>00011601193010007140</t>
  </si>
  <si>
    <t>83711601193010007140</t>
  </si>
  <si>
    <t>00011601193019000140</t>
  </si>
  <si>
    <t>83711601193019000140</t>
  </si>
  <si>
    <t>00011601200010000140</t>
  </si>
  <si>
    <t>00011601203010000140</t>
  </si>
  <si>
    <t>80611601203010000140</t>
  </si>
  <si>
    <t>00011601203010006140</t>
  </si>
  <si>
    <t>83711601203010006140</t>
  </si>
  <si>
    <t>00011601203019000140</t>
  </si>
  <si>
    <t>00011601203010008140</t>
  </si>
  <si>
    <t>83711601203010008140</t>
  </si>
  <si>
    <t>80611601203019000140</t>
  </si>
  <si>
    <t>83711601203019000140</t>
  </si>
  <si>
    <t>00011601203010021140</t>
  </si>
  <si>
    <t>80611601203010021140</t>
  </si>
  <si>
    <t>00011607000010000140</t>
  </si>
  <si>
    <t>00011607010000000140</t>
  </si>
  <si>
    <t>00011607010050000140</t>
  </si>
  <si>
    <t>90911607010050000140</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</si>
  <si>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</si>
  <si>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</si>
  <si>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</si>
  <si>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00011610123010000140</t>
  </si>
  <si>
    <t>00011610123010051140</t>
  </si>
  <si>
    <t>07611610123010051140</t>
  </si>
  <si>
    <t>14111610123010051140</t>
  </si>
  <si>
    <t>17711610123010051140</t>
  </si>
  <si>
    <t>18811610123010051140</t>
  </si>
  <si>
    <t>41511610123010051140</t>
  </si>
  <si>
    <t>90511610123010051140</t>
  </si>
  <si>
    <t>00011610123010751140</t>
  </si>
  <si>
    <t>84311610123010751140</t>
  </si>
  <si>
    <t>00011610123014851140</t>
  </si>
  <si>
    <t>84311610123014851140</t>
  </si>
  <si>
    <t>00011610123015351140</t>
  </si>
  <si>
    <t>84311610123015351140</t>
  </si>
  <si>
    <t>00011610129010000140</t>
  </si>
  <si>
    <t>18211610129010000140</t>
  </si>
  <si>
    <t>00011611000010000140</t>
  </si>
  <si>
    <t>00011611050010000140</t>
  </si>
  <si>
    <t>84311611050010000140</t>
  </si>
  <si>
    <t>00011611050014800140</t>
  </si>
  <si>
    <t>84311611050014800140</t>
  </si>
  <si>
    <t>00011611050015300140</t>
  </si>
  <si>
    <t>84311611050015300140</t>
  </si>
  <si>
    <t>00011611050019000140</t>
  </si>
  <si>
    <t>81511611050019000140</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</si>
  <si>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</si>
  <si>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на софинансирование капитальных вложений в объекты муниципальной собственности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</si>
  <si>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</si>
  <si>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</si>
  <si>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</si>
  <si>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00020225232050000150</t>
  </si>
  <si>
    <t>90920225232050000150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</si>
  <si>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</si>
  <si>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</si>
  <si>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00020225255050000150</t>
  </si>
  <si>
    <t>90320225255050000150</t>
  </si>
  <si>
    <t>2127</t>
  </si>
  <si>
    <t>2125</t>
  </si>
  <si>
    <t>2123</t>
  </si>
  <si>
    <t>2128</t>
  </si>
  <si>
    <t>2129</t>
  </si>
  <si>
    <t>2211</t>
  </si>
  <si>
    <t>2212</t>
  </si>
  <si>
    <t>Субвенции бюджетам на проведение Всероссийской переписи населения 2020 года</t>
  </si>
  <si>
    <t>00020235469000000150</t>
  </si>
  <si>
    <t>00020235469050000150</t>
  </si>
  <si>
    <t>90520235469050000150</t>
  </si>
  <si>
    <t>2307</t>
  </si>
  <si>
    <t>90920249999050000150</t>
  </si>
  <si>
    <t>2308</t>
  </si>
  <si>
    <t>2309</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</si>
  <si>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</si>
  <si>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</si>
  <si>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</si>
  <si>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</si>
  <si>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</si>
  <si>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00021805000050000150</t>
  </si>
  <si>
    <t>Доходы бюджетов муниципальных районов от возврата иными организациями остатков субсидий прошлых лет</t>
  </si>
  <si>
    <t>00021805030050000150</t>
  </si>
  <si>
    <t>90221805030050000150</t>
  </si>
  <si>
    <t>00021860010050000150</t>
  </si>
  <si>
    <t>90821860010050000150</t>
  </si>
  <si>
    <t>00021925497050000150</t>
  </si>
  <si>
    <t>90221925497050000150</t>
  </si>
  <si>
    <t>00021935120050000150</t>
  </si>
  <si>
    <t>90521935120050000150</t>
  </si>
  <si>
    <t>90221960010050000150</t>
  </si>
  <si>
    <t>91121960010050000150</t>
  </si>
  <si>
    <t>902 2 07 05030 05 0000 150</t>
  </si>
  <si>
    <t>903 2 07 05030 05 0000 150</t>
  </si>
  <si>
    <t>909 2 07 05030 05 0000 150</t>
  </si>
  <si>
    <t>Кассовое поступление в соответствии с решением Думы Тайшетского района от 26.05.2020г. № 286  за 2019 год</t>
  </si>
  <si>
    <t xml:space="preserve">Управление Роспотребнадзора по Иркутской области
</t>
  </si>
  <si>
    <t>Норматив зачисления в бюджет МО "Тайшетский район" на 2021 год в процентах</t>
  </si>
  <si>
    <t xml:space="preserve">                       0,122³                                                                                     </t>
  </si>
  <si>
    <t>30⁴</t>
  </si>
  <si>
    <t xml:space="preserve"> 100⁵                          </t>
  </si>
  <si>
    <t xml:space="preserve">¹ норматив зачисления в бюджет муниципального образования "Тайшетский район" от налога, взимаемого на территории сельских поселений Тайшетского района.
² норматив зачисления в бюджет  муниципального образования "Тайшетский район" от налога, взимаемого на территории городских поселений Тайшетского района.                                                                                                                                                                                                                                                                                                                  ³ норматив зачисления в бюджет муниципального образования "Тайшетский район", согласно проекту  закона Иркутской области об областном бюджете  на 2021 год и плановый период 2022 и 2023 годов.                                                                                                                                                                                                                                                                                                                                                                        ⁴ норматив зачисления в бюджет муниципального образования "Тайшетский район" в 2021 году без учета дефференцированных нормативов отчислений в бюджеты муниципальных районов от налога, взимаемого в связи с применением упрощенной системы налогообложения согласно проекту закона Иркутской области "О внесении изменений в Закон Иркутской области "О межбюджетных трансфертах и нормативах отчислений доходов в местные бюджеты"                                                                                                                                                                                                                                                                                                                                                                          ⁵ норматив зачисления в бюджет муниципального образования "Тайшетский район" в 2021 году с учетом установленных единых нормативов  отчислений в бюджеты муниципальных районов согласно проекту закона Иркутской области "О внесении изменений в Закон Иркутской области "О межбюджетных трансфертах и нормативах отчислений доходов в местные бюджеты"                                                                                                                                                                                                                                                                                                                                                                                </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</si>
  <si>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</si>
  <si>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t>
  </si>
  <si>
    <t>909 2 02 40014 05 0000 150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</si>
</sst>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00"/>
    <numFmt numFmtId="165" formatCode="?"/>
    <numFmt numFmtId="166" formatCode="?.00"/>
    <numFmt numFmtId="167" formatCode="0.000"/>
    <numFmt numFmtId="168" formatCode="_-* #,##0.000\ _₽_-;\-* #,##0.000\ _₽_-;_-* &quot;-&quot;??\ _₽_-;_-@_-"/>
    <numFmt numFmtId="169" formatCode="_-* #,##0.000\ _₽_-;\-* #,##0.000\ _₽_-;_-* &quot;-&quot;???\ _₽_-;_-@_-"/>
    <numFmt numFmtId="170" formatCode="#,##0.0"/>
    <numFmt numFmtId="171" formatCode="0.0%"/>
    <numFmt numFmtId="172" formatCode="_-* #,##0.0\ _₽_-;\-* #,##0.0\ _₽_-;_-* &quot;-&quot;??\ _₽_-;_-@_-"/>
    <numFmt numFmtId="173" formatCode="_-* #,##0.0\ _₽_-;\-* #,##0.0\ _₽_-;_-* &quot;-&quot;?\ _₽_-;_-@_-"/>
    <numFmt numFmtId="174" formatCode="#,##0.00_р_."/>
  </numFmts>
  <fonts count="25" x14ac:knownFonts="1">
    <font>
      <sz val="10"/>
      <name val="Arial"/>
    </font>
    <font>
      <b/>
      <sz val="8.5"/>
      <name val="Times New Roman"/>
      <family val="1"/>
      <charset val="204"/>
    </font>
    <font>
      <sz val="8.5"/>
      <name val="MS Sans Serif"/>
      <family val="2"/>
      <charset val="204"/>
    </font>
    <font>
      <sz val="8.5"/>
      <name val="Times New Roman"/>
      <family val="1"/>
      <charset val="204"/>
    </font>
    <font>
      <sz val="10"/>
      <name val="Times New Roman"/>
      <family val="1"/>
      <charset val="204"/>
    </font>
    <font>
      <sz val="10"/>
      <name val="Arial Cyr"/>
    </font>
    <font>
      <b/>
      <sz val="12"/>
      <name val="Times New Roman"/>
      <family val="1"/>
      <charset val="204"/>
    </font>
    <font>
      <sz val="8"/>
      <name val="Arial Cyr"/>
    </font>
    <font>
      <b/>
      <sz val="8"/>
      <name val="Arial"/>
      <family val="2"/>
      <charset val="204"/>
    </font>
    <font>
      <b/>
      <sz val="8"/>
      <name val="Arial cyr"/>
    </font>
    <font>
      <sz val="10"/>
      <name val="Arial"/>
      <family val="2"/>
      <charset val="204"/>
    </font>
    <font>
      <b/>
      <sz val="9"/>
      <name val="Times New Roman"/>
      <family val="1"/>
      <charset val="204"/>
    </font>
    <font>
      <sz val="9"/>
      <name val="Times New Roman"/>
      <family val="1"/>
      <charset val="204"/>
    </font>
    <font>
      <b/>
      <sz val="9"/>
      <color rgb="FFFF0000"/>
      <name val="Times New Roman"/>
      <family val="1"/>
      <charset val="204"/>
    </font>
    <font>
      <sz val="9"/>
      <color rgb="FFFF0000"/>
      <name val="Times New Roman"/>
      <family val="1"/>
      <charset val="204"/>
    </font>
    <font>
      <sz val="8"/>
      <color rgb="FF000000"/>
      <name val="Arial"/>
      <family val="2"/>
      <charset val="204"/>
    </font>
    <font>
      <b/>
      <sz val="9"/>
      <color theme="1"/>
      <name val="Times New Roman"/>
      <family val="1"/>
      <charset val="204"/>
    </font>
    <font>
      <sz val="9"/>
      <color theme="1"/>
      <name val="Times New Roman"/>
      <family val="1"/>
      <charset val="204"/>
    </font>
    <font>
      <sz val="14"/>
      <color theme="1"/>
      <name val="Times New Roman"/>
      <family val="1"/>
      <charset val="204"/>
    </font>
    <font>
      <b/>
      <sz val="9"/>
      <color theme="3"/>
      <name val="Times New Roman"/>
      <family val="1"/>
      <charset val="204"/>
    </font>
    <font>
      <sz val="9"/>
      <color theme="3"/>
      <name val="Times New Roman"/>
      <family val="1"/>
      <charset val="204"/>
    </font>
    <font>
      <sz val="10"/>
      <name val="Arial"/>
      <family val="2"/>
      <charset val="204"/>
    </font>
    <font>
      <b/>
      <sz val="10"/>
      <name val="Arial"/>
      <family val="2"/>
      <charset val="204"/>
    </font>
    <font>
      <sz val="10"/>
      <color rgb="FFFF0000"/>
      <name val="Arial"/>
      <family val="2"/>
      <charset val="204"/>
    </font>
    <font>
      <sz val="7"/>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0" fontId="15" fillId="0" borderId="7">
      <alignment horizontal="left" wrapText="1" indent="2"/>
    </xf>
    <xf numFmtId="49" fontId="15" fillId="0" borderId="8">
      <alignment horizontal="center"/>
    </xf>
    <xf numFmtId="9" fontId="21" fillId="0" borderId="0" applyFont="0" applyFill="0" applyBorder="0" applyAlignment="0" applyProtection="0"/>
  </cellStyleXfs>
  <cellXfs count="292">
    <xf numFmtId="0" fontId="0" fillId="0" borderId="0" xfId="0"/>
    <xf numFmtId="0" fontId="1" fillId="0" borderId="1" xfId="0" applyFont="1" applyBorder="1" applyAlignment="1" applyProtection="1"/>
    <xf numFmtId="0" fontId="2" fillId="0" borderId="0" xfId="0" applyFont="1" applyBorder="1" applyAlignment="1" applyProtection="1"/>
    <xf numFmtId="0" fontId="3" fillId="0" borderId="0" xfId="0" applyFont="1" applyBorder="1" applyAlignment="1" applyProtection="1"/>
    <xf numFmtId="49" fontId="2"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0" xfId="0" applyFont="1" applyBorder="1" applyAlignment="1" applyProtection="1"/>
    <xf numFmtId="0" fontId="4" fillId="0" borderId="0" xfId="0" applyFont="1" applyBorder="1" applyAlignment="1" applyProtection="1">
      <alignment horizontal="center"/>
    </xf>
    <xf numFmtId="0" fontId="5" fillId="0" borderId="0" xfId="0" applyFont="1" applyBorder="1" applyAlignment="1" applyProtection="1"/>
    <xf numFmtId="49" fontId="7" fillId="0" borderId="0" xfId="0" applyNumberFormat="1" applyFont="1" applyBorder="1" applyAlignment="1" applyProtection="1">
      <alignment wrapText="1"/>
    </xf>
    <xf numFmtId="0" fontId="9" fillId="0" borderId="3" xfId="0" applyFont="1" applyBorder="1" applyAlignment="1" applyProtection="1">
      <alignment horizontal="center" vertical="center" wrapText="1"/>
    </xf>
    <xf numFmtId="49" fontId="9" fillId="0" borderId="3" xfId="0" applyNumberFormat="1" applyFont="1" applyBorder="1" applyAlignment="1" applyProtection="1">
      <alignment horizontal="left" vertical="center" wrapText="1"/>
    </xf>
    <xf numFmtId="49" fontId="9" fillId="0" borderId="3" xfId="0" applyNumberFormat="1" applyFont="1" applyBorder="1" applyAlignment="1" applyProtection="1">
      <alignment horizontal="center" vertical="center" wrapText="1"/>
    </xf>
    <xf numFmtId="164" fontId="9" fillId="0" borderId="3" xfId="0" applyNumberFormat="1" applyFont="1" applyBorder="1" applyAlignment="1" applyProtection="1">
      <alignment horizontal="right" vertical="center" wrapText="1"/>
    </xf>
    <xf numFmtId="165" fontId="9"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164" fontId="7" fillId="0" borderId="3" xfId="0" applyNumberFormat="1" applyFont="1" applyBorder="1" applyAlignment="1" applyProtection="1">
      <alignment horizontal="right" vertical="center" wrapText="1"/>
    </xf>
    <xf numFmtId="165" fontId="7" fillId="0" borderId="3" xfId="0" applyNumberFormat="1" applyFont="1" applyBorder="1" applyAlignment="1" applyProtection="1">
      <alignment horizontal="left" vertical="center" wrapText="1"/>
    </xf>
    <xf numFmtId="164" fontId="9" fillId="3" borderId="3" xfId="0" applyNumberFormat="1" applyFont="1" applyFill="1" applyBorder="1" applyAlignment="1" applyProtection="1">
      <alignment horizontal="right" vertical="center" wrapText="1"/>
    </xf>
    <xf numFmtId="164" fontId="0" fillId="0" borderId="0" xfId="0" applyNumberFormat="1"/>
    <xf numFmtId="164" fontId="7" fillId="2" borderId="3" xfId="0" applyNumberFormat="1" applyFont="1" applyFill="1" applyBorder="1" applyAlignment="1" applyProtection="1">
      <alignment horizontal="right" vertical="center" wrapText="1"/>
    </xf>
    <xf numFmtId="164" fontId="9" fillId="4" borderId="3" xfId="0" applyNumberFormat="1" applyFont="1" applyFill="1" applyBorder="1" applyAlignment="1" applyProtection="1">
      <alignment horizontal="right" vertical="center" wrapText="1"/>
    </xf>
    <xf numFmtId="164" fontId="0" fillId="2" borderId="0" xfId="0" applyNumberFormat="1" applyFill="1"/>
    <xf numFmtId="164" fontId="4" fillId="0" borderId="0" xfId="0" applyNumberFormat="1" applyFont="1" applyBorder="1" applyAlignment="1" applyProtection="1"/>
    <xf numFmtId="49" fontId="9" fillId="3" borderId="3" xfId="0" applyNumberFormat="1" applyFont="1" applyFill="1" applyBorder="1" applyAlignment="1" applyProtection="1">
      <alignment horizontal="left" vertical="center" wrapText="1"/>
    </xf>
    <xf numFmtId="49" fontId="9" fillId="3" borderId="3" xfId="0" applyNumberFormat="1" applyFont="1" applyFill="1" applyBorder="1" applyAlignment="1" applyProtection="1">
      <alignment horizontal="center" vertical="center" wrapText="1"/>
    </xf>
    <xf numFmtId="164" fontId="9" fillId="5" borderId="3" xfId="0" applyNumberFormat="1" applyFont="1" applyFill="1" applyBorder="1" applyAlignment="1" applyProtection="1">
      <alignment horizontal="right" vertical="center" wrapText="1"/>
    </xf>
    <xf numFmtId="49" fontId="9" fillId="4" borderId="3" xfId="0" applyNumberFormat="1" applyFont="1" applyFill="1" applyBorder="1" applyAlignment="1" applyProtection="1">
      <alignment horizontal="left" vertical="center" wrapText="1"/>
    </xf>
    <xf numFmtId="49" fontId="9" fillId="4" borderId="3" xfId="0" applyNumberFormat="1" applyFont="1" applyFill="1" applyBorder="1" applyAlignment="1" applyProtection="1">
      <alignment horizontal="center" vertical="center" wrapText="1"/>
    </xf>
    <xf numFmtId="165" fontId="9" fillId="4" borderId="3" xfId="0" applyNumberFormat="1" applyFont="1" applyFill="1" applyBorder="1" applyAlignment="1" applyProtection="1">
      <alignment horizontal="left" vertical="center" wrapText="1"/>
    </xf>
    <xf numFmtId="0" fontId="23" fillId="0" borderId="0" xfId="0" applyFont="1"/>
    <xf numFmtId="0" fontId="0" fillId="3" borderId="0" xfId="0" applyFill="1"/>
    <xf numFmtId="170" fontId="17" fillId="2" borderId="0" xfId="0" applyNumberFormat="1" applyFont="1" applyFill="1" applyAlignment="1">
      <alignment horizontal="right"/>
    </xf>
    <xf numFmtId="43" fontId="20" fillId="2" borderId="0" xfId="1" applyFont="1" applyFill="1"/>
    <xf numFmtId="168" fontId="20" fillId="2" borderId="0" xfId="1" applyNumberFormat="1" applyFont="1" applyFill="1"/>
    <xf numFmtId="0" fontId="20" fillId="2" borderId="0" xfId="0" applyFont="1" applyFill="1"/>
    <xf numFmtId="0" fontId="12" fillId="2" borderId="0" xfId="0" applyFont="1" applyFill="1"/>
    <xf numFmtId="170" fontId="16" fillId="2" borderId="0"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left" vertical="center" wrapText="1"/>
    </xf>
    <xf numFmtId="43" fontId="12" fillId="2" borderId="0" xfId="1" applyFont="1" applyFill="1"/>
    <xf numFmtId="9" fontId="20" fillId="2" borderId="0" xfId="4" applyFont="1" applyFill="1" applyBorder="1" applyAlignment="1" applyProtection="1">
      <alignment horizontal="center" vertical="center" wrapText="1"/>
    </xf>
    <xf numFmtId="9" fontId="20" fillId="2" borderId="0" xfId="4" applyFont="1" applyFill="1"/>
    <xf numFmtId="169" fontId="20" fillId="2" borderId="0" xfId="1" applyNumberFormat="1" applyFont="1" applyFill="1" applyAlignment="1">
      <alignment vertical="center"/>
    </xf>
    <xf numFmtId="168" fontId="20" fillId="2" borderId="0" xfId="1" applyNumberFormat="1" applyFont="1" applyFill="1" applyAlignment="1">
      <alignment vertical="center"/>
    </xf>
    <xf numFmtId="170" fontId="14" fillId="2" borderId="0" xfId="0" applyNumberFormat="1" applyFont="1" applyFill="1" applyBorder="1" applyAlignment="1" applyProtection="1">
      <alignment horizontal="center" vertical="center" wrapText="1"/>
    </xf>
    <xf numFmtId="49" fontId="12" fillId="2" borderId="3" xfId="0" applyNumberFormat="1" applyFont="1" applyFill="1" applyBorder="1" applyAlignment="1" applyProtection="1">
      <alignment horizontal="left" vertical="center" wrapText="1"/>
    </xf>
    <xf numFmtId="49" fontId="12" fillId="2" borderId="3" xfId="0" applyNumberFormat="1" applyFont="1" applyFill="1" applyBorder="1" applyAlignment="1" applyProtection="1">
      <alignment horizontal="center" vertical="center" wrapText="1"/>
    </xf>
    <xf numFmtId="4" fontId="17" fillId="2" borderId="3" xfId="0" applyNumberFormat="1" applyFont="1" applyFill="1" applyBorder="1" applyAlignment="1" applyProtection="1">
      <alignment horizontal="center" vertical="center" wrapText="1"/>
    </xf>
    <xf numFmtId="170" fontId="17" fillId="2" borderId="3" xfId="0" applyNumberFormat="1" applyFont="1" applyFill="1" applyBorder="1" applyAlignment="1" applyProtection="1">
      <alignment horizontal="center" vertical="center" wrapText="1"/>
    </xf>
    <xf numFmtId="170" fontId="14" fillId="2" borderId="3" xfId="0" applyNumberFormat="1" applyFont="1" applyFill="1" applyBorder="1"/>
    <xf numFmtId="170" fontId="14" fillId="2" borderId="0" xfId="0" applyNumberFormat="1" applyFont="1" applyFill="1" applyBorder="1"/>
    <xf numFmtId="172" fontId="20" fillId="2" borderId="0" xfId="1" applyNumberFormat="1" applyFont="1" applyFill="1"/>
    <xf numFmtId="9" fontId="20" fillId="2" borderId="0" xfId="4" applyFont="1" applyFill="1" applyAlignment="1">
      <alignment horizontal="center"/>
    </xf>
    <xf numFmtId="170" fontId="14" fillId="2" borderId="3" xfId="0" applyNumberFormat="1" applyFont="1" applyFill="1" applyBorder="1" applyAlignment="1" applyProtection="1">
      <alignment horizontal="center" vertical="center" wrapText="1"/>
    </xf>
    <xf numFmtId="173" fontId="20" fillId="2" borderId="0" xfId="0" applyNumberFormat="1" applyFont="1" applyFill="1"/>
    <xf numFmtId="49" fontId="11" fillId="2" borderId="3" xfId="0" applyNumberFormat="1" applyFont="1" applyFill="1" applyBorder="1" applyAlignment="1" applyProtection="1">
      <alignment horizontal="center" vertical="center" wrapText="1"/>
    </xf>
    <xf numFmtId="164" fontId="13" fillId="2" borderId="3" xfId="0" applyNumberFormat="1" applyFont="1" applyFill="1" applyBorder="1" applyAlignment="1" applyProtection="1">
      <alignment horizontal="center" vertical="center" wrapText="1"/>
    </xf>
    <xf numFmtId="170" fontId="13" fillId="2" borderId="0" xfId="0" applyNumberFormat="1" applyFont="1" applyFill="1" applyBorder="1"/>
    <xf numFmtId="43" fontId="19" fillId="2" borderId="0" xfId="1" applyFont="1" applyFill="1"/>
    <xf numFmtId="0" fontId="11" fillId="2" borderId="0" xfId="0" applyFont="1" applyFill="1"/>
    <xf numFmtId="9" fontId="14" fillId="2" borderId="0" xfId="4" applyFont="1" applyFill="1" applyBorder="1" applyAlignment="1" applyProtection="1">
      <alignment horizontal="center" vertical="center" wrapText="1"/>
    </xf>
    <xf numFmtId="49" fontId="20" fillId="2" borderId="3" xfId="0" applyNumberFormat="1" applyFont="1" applyFill="1" applyBorder="1" applyAlignment="1" applyProtection="1">
      <alignment horizontal="left" vertical="center" wrapText="1"/>
    </xf>
    <xf numFmtId="49" fontId="16" fillId="2" borderId="3" xfId="0" applyNumberFormat="1" applyFont="1" applyFill="1" applyBorder="1" applyAlignment="1" applyProtection="1">
      <alignment horizontal="left" vertical="center" wrapText="1"/>
    </xf>
    <xf numFmtId="170" fontId="17" fillId="2" borderId="3" xfId="0" applyNumberFormat="1" applyFont="1" applyFill="1" applyBorder="1"/>
    <xf numFmtId="49" fontId="17" fillId="2" borderId="3" xfId="0" applyNumberFormat="1" applyFont="1" applyFill="1" applyBorder="1" applyAlignment="1" applyProtection="1">
      <alignment horizontal="center" vertical="center" wrapText="1"/>
    </xf>
    <xf numFmtId="170" fontId="17" fillId="2" borderId="4" xfId="0" applyNumberFormat="1" applyFont="1" applyFill="1" applyBorder="1" applyAlignment="1">
      <alignment horizontal="center"/>
    </xf>
    <xf numFmtId="170" fontId="14" fillId="2" borderId="0" xfId="0" applyNumberFormat="1" applyFont="1" applyFill="1" applyBorder="1" applyAlignment="1">
      <alignment horizontal="center"/>
    </xf>
    <xf numFmtId="49" fontId="19" fillId="2" borderId="3" xfId="0" applyNumberFormat="1" applyFont="1" applyFill="1" applyBorder="1" applyAlignment="1" applyProtection="1">
      <alignment horizontal="left" vertical="center" wrapText="1"/>
    </xf>
    <xf numFmtId="49" fontId="16" fillId="2" borderId="3" xfId="0" applyNumberFormat="1" applyFont="1" applyFill="1" applyBorder="1" applyAlignment="1" applyProtection="1">
      <alignment horizontal="center" vertical="center" wrapText="1"/>
    </xf>
    <xf numFmtId="0" fontId="17" fillId="2" borderId="0" xfId="0" applyFont="1" applyFill="1"/>
    <xf numFmtId="49" fontId="20" fillId="2" borderId="3" xfId="0" applyNumberFormat="1" applyFont="1" applyFill="1" applyBorder="1" applyAlignment="1" applyProtection="1">
      <alignment horizontal="center" vertical="center" wrapText="1"/>
    </xf>
    <xf numFmtId="4" fontId="20" fillId="2" borderId="3" xfId="0" applyNumberFormat="1" applyFont="1" applyFill="1" applyBorder="1" applyAlignment="1" applyProtection="1">
      <alignment horizontal="center" vertical="center" wrapText="1"/>
    </xf>
    <xf numFmtId="170" fontId="20" fillId="2" borderId="3" xfId="0" applyNumberFormat="1" applyFont="1" applyFill="1" applyBorder="1" applyAlignment="1" applyProtection="1">
      <alignment horizontal="center" vertical="center" wrapText="1"/>
    </xf>
    <xf numFmtId="170" fontId="20" fillId="2" borderId="0" xfId="0" applyNumberFormat="1" applyFont="1" applyFill="1" applyBorder="1" applyAlignment="1" applyProtection="1">
      <alignment horizontal="center" vertical="center" wrapText="1"/>
    </xf>
    <xf numFmtId="4" fontId="14" fillId="2" borderId="3" xfId="0" applyNumberFormat="1" applyFont="1" applyFill="1" applyBorder="1" applyAlignment="1" applyProtection="1">
      <alignment horizontal="center" vertical="center" wrapText="1"/>
    </xf>
    <xf numFmtId="170" fontId="17" fillId="2" borderId="0" xfId="0" applyNumberFormat="1" applyFont="1" applyFill="1" applyBorder="1" applyAlignment="1" applyProtection="1">
      <alignment horizontal="center" vertical="center" wrapText="1"/>
    </xf>
    <xf numFmtId="0" fontId="14" fillId="2" borderId="0" xfId="0" applyFont="1" applyFill="1"/>
    <xf numFmtId="49" fontId="19" fillId="2" borderId="3" xfId="0" applyNumberFormat="1" applyFont="1" applyFill="1" applyBorder="1" applyAlignment="1" applyProtection="1">
      <alignment horizontal="center" vertical="center" wrapText="1"/>
    </xf>
    <xf numFmtId="169" fontId="20" fillId="2" borderId="0" xfId="0" applyNumberFormat="1" applyFont="1" applyFill="1"/>
    <xf numFmtId="170" fontId="16" fillId="2" borderId="3" xfId="0" applyNumberFormat="1" applyFont="1" applyFill="1" applyBorder="1" applyAlignment="1" applyProtection="1">
      <alignment horizontal="center" vertical="center"/>
    </xf>
    <xf numFmtId="170" fontId="13" fillId="2" borderId="0" xfId="0" applyNumberFormat="1" applyFont="1" applyFill="1" applyBorder="1" applyAlignment="1" applyProtection="1">
      <alignment horizontal="center" vertical="center"/>
    </xf>
    <xf numFmtId="0" fontId="11" fillId="2" borderId="0" xfId="0" applyFont="1" applyFill="1" applyAlignment="1">
      <alignment horizontal="right"/>
    </xf>
    <xf numFmtId="4" fontId="13" fillId="2" borderId="0" xfId="0" applyNumberFormat="1" applyFont="1" applyFill="1" applyAlignment="1">
      <alignment horizontal="center"/>
    </xf>
    <xf numFmtId="170" fontId="13" fillId="2" borderId="0" xfId="0" applyNumberFormat="1" applyFont="1" applyFill="1" applyAlignment="1">
      <alignment horizontal="center"/>
    </xf>
    <xf numFmtId="170" fontId="16" fillId="2" borderId="0" xfId="0" applyNumberFormat="1" applyFont="1" applyFill="1" applyAlignment="1">
      <alignment horizontal="center"/>
    </xf>
    <xf numFmtId="0" fontId="14" fillId="2" borderId="0" xfId="0" applyFont="1" applyFill="1" applyAlignment="1">
      <alignment horizontal="center"/>
    </xf>
    <xf numFmtId="170" fontId="17" fillId="2" borderId="0" xfId="0" applyNumberFormat="1" applyFont="1" applyFill="1" applyAlignment="1">
      <alignment horizontal="center"/>
    </xf>
    <xf numFmtId="170" fontId="14" fillId="2" borderId="0" xfId="0" applyNumberFormat="1" applyFont="1" applyFill="1" applyAlignment="1">
      <alignment horizontal="center"/>
    </xf>
    <xf numFmtId="170" fontId="17" fillId="2" borderId="0" xfId="0" applyNumberFormat="1" applyFont="1" applyFill="1"/>
    <xf numFmtId="170" fontId="14" fillId="2" borderId="0" xfId="0" applyNumberFormat="1" applyFont="1" applyFill="1"/>
    <xf numFmtId="49" fontId="11" fillId="7" borderId="3" xfId="0" applyNumberFormat="1" applyFont="1" applyFill="1" applyBorder="1" applyAlignment="1" applyProtection="1">
      <alignment horizontal="left" vertical="center" wrapText="1"/>
    </xf>
    <xf numFmtId="0" fontId="11" fillId="7" borderId="0"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12" fillId="7" borderId="4" xfId="0" applyFont="1" applyFill="1" applyBorder="1" applyAlignment="1" applyProtection="1">
      <alignment horizontal="left" vertical="center" wrapText="1"/>
    </xf>
    <xf numFmtId="0" fontId="11" fillId="7" borderId="4" xfId="0" applyFont="1" applyFill="1" applyBorder="1" applyAlignment="1" applyProtection="1">
      <alignment horizontal="center" vertical="center" wrapText="1"/>
    </xf>
    <xf numFmtId="0" fontId="13" fillId="7" borderId="4"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170" fontId="13" fillId="7" borderId="3" xfId="0" applyNumberFormat="1" applyFont="1" applyFill="1" applyBorder="1" applyAlignment="1" applyProtection="1">
      <alignment horizontal="center" vertical="center" wrapText="1"/>
    </xf>
    <xf numFmtId="170" fontId="16" fillId="7" borderId="3" xfId="0" applyNumberFormat="1" applyFont="1" applyFill="1" applyBorder="1" applyAlignment="1" applyProtection="1">
      <alignment horizontal="center" vertical="center" wrapText="1"/>
    </xf>
    <xf numFmtId="170" fontId="13" fillId="7" borderId="0" xfId="0" applyNumberFormat="1" applyFont="1" applyFill="1" applyBorder="1" applyAlignment="1" applyProtection="1">
      <alignment horizontal="center" vertical="center" wrapText="1"/>
    </xf>
    <xf numFmtId="43" fontId="20" fillId="7" borderId="0" xfId="1" applyFont="1" applyFill="1"/>
    <xf numFmtId="168" fontId="20" fillId="7" borderId="0" xfId="1" applyNumberFormat="1" applyFont="1" applyFill="1"/>
    <xf numFmtId="0" fontId="12" fillId="7" borderId="0" xfId="0" applyFont="1" applyFill="1"/>
    <xf numFmtId="170" fontId="17" fillId="8" borderId="3" xfId="0" applyNumberFormat="1" applyFont="1" applyFill="1" applyBorder="1" applyAlignment="1" applyProtection="1">
      <alignment horizontal="center" vertical="center" wrapText="1"/>
    </xf>
    <xf numFmtId="170" fontId="16" fillId="8" borderId="3" xfId="0" applyNumberFormat="1" applyFont="1" applyFill="1" applyBorder="1"/>
    <xf numFmtId="170" fontId="20" fillId="8" borderId="3" xfId="0" applyNumberFormat="1" applyFont="1" applyFill="1" applyBorder="1" applyAlignment="1" applyProtection="1">
      <alignment horizontal="center" vertical="center" wrapText="1"/>
    </xf>
    <xf numFmtId="4" fontId="20" fillId="8" borderId="3" xfId="0" applyNumberFormat="1" applyFont="1" applyFill="1" applyBorder="1" applyAlignment="1" applyProtection="1">
      <alignment horizontal="center" vertical="center" wrapText="1"/>
    </xf>
    <xf numFmtId="170" fontId="16" fillId="8" borderId="3" xfId="0" applyNumberFormat="1" applyFont="1" applyFill="1" applyBorder="1" applyAlignment="1" applyProtection="1">
      <alignment horizontal="center" vertical="center"/>
    </xf>
    <xf numFmtId="170" fontId="16" fillId="8" borderId="0" xfId="0" applyNumberFormat="1" applyFont="1" applyFill="1" applyAlignment="1">
      <alignment horizontal="center"/>
    </xf>
    <xf numFmtId="170" fontId="13" fillId="8" borderId="0" xfId="0" applyNumberFormat="1" applyFont="1" applyFill="1"/>
    <xf numFmtId="170" fontId="17" fillId="7" borderId="3" xfId="0" applyNumberFormat="1" applyFont="1" applyFill="1" applyBorder="1" applyAlignment="1" applyProtection="1">
      <alignment horizontal="center" vertical="center" wrapText="1"/>
    </xf>
    <xf numFmtId="165" fontId="12" fillId="7" borderId="3" xfId="0" applyNumberFormat="1" applyFont="1" applyFill="1" applyBorder="1" applyAlignment="1" applyProtection="1">
      <alignment horizontal="left" vertical="center" wrapText="1"/>
    </xf>
    <xf numFmtId="49" fontId="12" fillId="7" borderId="3" xfId="0" applyNumberFormat="1" applyFont="1" applyFill="1" applyBorder="1" applyAlignment="1" applyProtection="1">
      <alignment horizontal="center" vertical="center" wrapText="1"/>
    </xf>
    <xf numFmtId="2" fontId="12" fillId="7" borderId="3" xfId="0" applyNumberFormat="1" applyFont="1" applyFill="1" applyBorder="1" applyAlignment="1" applyProtection="1">
      <alignment horizontal="left" vertical="center" wrapText="1"/>
    </xf>
    <xf numFmtId="49" fontId="12" fillId="7" borderId="3" xfId="0" applyNumberFormat="1" applyFont="1" applyFill="1" applyBorder="1" applyAlignment="1" applyProtection="1">
      <alignment horizontal="left" vertical="center" wrapText="1"/>
    </xf>
    <xf numFmtId="165" fontId="12" fillId="7" borderId="3" xfId="0" applyNumberFormat="1" applyFont="1" applyFill="1" applyBorder="1" applyAlignment="1" applyProtection="1">
      <alignment horizontal="center" vertical="center" wrapText="1"/>
    </xf>
    <xf numFmtId="4" fontId="17" fillId="7" borderId="3" xfId="0" applyNumberFormat="1" applyFont="1" applyFill="1" applyBorder="1" applyAlignment="1" applyProtection="1">
      <alignment horizontal="center" vertical="center" wrapText="1"/>
    </xf>
    <xf numFmtId="165" fontId="11" fillId="7" borderId="3" xfId="0" applyNumberFormat="1" applyFont="1" applyFill="1" applyBorder="1" applyAlignment="1" applyProtection="1">
      <alignment horizontal="left" vertical="center" wrapText="1"/>
    </xf>
    <xf numFmtId="164" fontId="14" fillId="7" borderId="3" xfId="0" applyNumberFormat="1" applyFont="1" applyFill="1" applyBorder="1" applyAlignment="1" applyProtection="1">
      <alignment horizontal="center" vertical="center" wrapText="1"/>
    </xf>
    <xf numFmtId="170" fontId="13" fillId="7" borderId="3" xfId="0" applyNumberFormat="1" applyFont="1" applyFill="1" applyBorder="1"/>
    <xf numFmtId="164" fontId="17" fillId="7" borderId="3" xfId="0" applyNumberFormat="1" applyFont="1" applyFill="1" applyBorder="1"/>
    <xf numFmtId="170" fontId="14" fillId="7" borderId="3" xfId="0" applyNumberFormat="1" applyFont="1" applyFill="1" applyBorder="1"/>
    <xf numFmtId="164" fontId="17" fillId="7" borderId="3" xfId="0" applyNumberFormat="1" applyFont="1" applyFill="1" applyBorder="1" applyAlignment="1" applyProtection="1">
      <alignment horizontal="center" vertical="center" wrapText="1"/>
    </xf>
    <xf numFmtId="170" fontId="17" fillId="7" borderId="0" xfId="0" applyNumberFormat="1" applyFont="1" applyFill="1" applyAlignment="1">
      <alignment horizontal="right"/>
    </xf>
    <xf numFmtId="165" fontId="11" fillId="7" borderId="6" xfId="0" applyNumberFormat="1" applyFont="1" applyFill="1" applyBorder="1" applyAlignment="1" applyProtection="1">
      <alignment horizontal="center" vertical="center" wrapText="1"/>
    </xf>
    <xf numFmtId="49" fontId="11" fillId="7" borderId="3" xfId="0" applyNumberFormat="1" applyFont="1" applyFill="1" applyBorder="1" applyAlignment="1" applyProtection="1">
      <alignment horizontal="center" vertical="center" wrapText="1"/>
    </xf>
    <xf numFmtId="164" fontId="13" fillId="7" borderId="3" xfId="0" applyNumberFormat="1" applyFont="1" applyFill="1" applyBorder="1" applyAlignment="1" applyProtection="1">
      <alignment horizontal="center" vertical="center" wrapText="1"/>
    </xf>
    <xf numFmtId="170" fontId="16" fillId="7" borderId="3" xfId="0" applyNumberFormat="1" applyFont="1" applyFill="1" applyBorder="1"/>
    <xf numFmtId="165" fontId="11" fillId="7" borderId="5" xfId="0" applyNumberFormat="1" applyFont="1" applyFill="1" applyBorder="1" applyAlignment="1" applyProtection="1">
      <alignment horizontal="center" vertical="center" wrapText="1"/>
    </xf>
    <xf numFmtId="49" fontId="11" fillId="7" borderId="4" xfId="0" applyNumberFormat="1" applyFont="1" applyFill="1" applyBorder="1" applyAlignment="1" applyProtection="1">
      <alignment horizontal="center" vertical="center" wrapText="1"/>
    </xf>
    <xf numFmtId="164" fontId="13" fillId="7" borderId="4" xfId="0" applyNumberFormat="1" applyFont="1" applyFill="1" applyBorder="1" applyAlignment="1" applyProtection="1">
      <alignment horizontal="center" vertical="center" wrapText="1"/>
    </xf>
    <xf numFmtId="49" fontId="17" fillId="7" borderId="3" xfId="0" applyNumberFormat="1" applyFont="1" applyFill="1" applyBorder="1" applyAlignment="1" applyProtection="1">
      <alignment horizontal="left" vertical="center" wrapText="1"/>
    </xf>
    <xf numFmtId="49" fontId="16" fillId="7" borderId="3" xfId="0" applyNumberFormat="1" applyFont="1" applyFill="1" applyBorder="1" applyAlignment="1" applyProtection="1">
      <alignment horizontal="left" vertical="center" wrapText="1"/>
    </xf>
    <xf numFmtId="165" fontId="20" fillId="7" borderId="3" xfId="0" applyNumberFormat="1" applyFont="1" applyFill="1" applyBorder="1" applyAlignment="1" applyProtection="1">
      <alignment horizontal="left" vertical="center" wrapText="1"/>
    </xf>
    <xf numFmtId="49" fontId="20" fillId="7" borderId="3" xfId="0" applyNumberFormat="1" applyFont="1" applyFill="1" applyBorder="1" applyAlignment="1" applyProtection="1">
      <alignment horizontal="left" vertical="center" wrapText="1"/>
    </xf>
    <xf numFmtId="164" fontId="14" fillId="7" borderId="4" xfId="0" applyNumberFormat="1" applyFont="1" applyFill="1" applyBorder="1" applyAlignment="1" applyProtection="1">
      <alignment horizontal="center" vertical="center" wrapText="1"/>
    </xf>
    <xf numFmtId="49" fontId="17" fillId="7" borderId="3" xfId="0" applyNumberFormat="1" applyFont="1" applyFill="1" applyBorder="1" applyAlignment="1" applyProtection="1">
      <alignment horizontal="center" vertical="center" wrapText="1"/>
    </xf>
    <xf numFmtId="170" fontId="14" fillId="7" borderId="3" xfId="0" applyNumberFormat="1" applyFont="1" applyFill="1" applyBorder="1" applyAlignment="1" applyProtection="1">
      <alignment horizontal="center" vertical="center" wrapText="1"/>
    </xf>
    <xf numFmtId="43" fontId="11" fillId="7" borderId="3" xfId="1" applyFont="1" applyFill="1" applyBorder="1" applyAlignment="1" applyProtection="1">
      <alignment horizontal="center" vertical="center" wrapText="1"/>
    </xf>
    <xf numFmtId="49" fontId="11" fillId="7" borderId="4" xfId="0" applyNumberFormat="1" applyFont="1" applyFill="1" applyBorder="1" applyAlignment="1" applyProtection="1">
      <alignment horizontal="left" vertical="center" wrapText="1"/>
    </xf>
    <xf numFmtId="170" fontId="17" fillId="7" borderId="4" xfId="0" applyNumberFormat="1" applyFont="1" applyFill="1" applyBorder="1" applyAlignment="1">
      <alignment horizontal="center"/>
    </xf>
    <xf numFmtId="43" fontId="11" fillId="7" borderId="4" xfId="1" applyFont="1" applyFill="1" applyBorder="1" applyAlignment="1" applyProtection="1">
      <alignment horizontal="center" vertical="center" wrapText="1"/>
    </xf>
    <xf numFmtId="4" fontId="14" fillId="7" borderId="3" xfId="0" applyNumberFormat="1" applyFont="1" applyFill="1" applyBorder="1" applyAlignment="1" applyProtection="1">
      <alignment horizontal="center" vertical="center" wrapText="1"/>
    </xf>
    <xf numFmtId="4" fontId="13" fillId="7" borderId="3" xfId="0" applyNumberFormat="1" applyFont="1" applyFill="1" applyBorder="1" applyAlignment="1" applyProtection="1">
      <alignment horizontal="center" vertical="center" wrapText="1"/>
    </xf>
    <xf numFmtId="165" fontId="16" fillId="7" borderId="3" xfId="0" applyNumberFormat="1" applyFont="1" applyFill="1" applyBorder="1" applyAlignment="1" applyProtection="1">
      <alignment horizontal="left" vertical="center" wrapText="1"/>
    </xf>
    <xf numFmtId="49" fontId="16" fillId="7" borderId="3" xfId="0" applyNumberFormat="1" applyFont="1" applyFill="1" applyBorder="1" applyAlignment="1" applyProtection="1">
      <alignment horizontal="center" vertical="center" wrapText="1"/>
    </xf>
    <xf numFmtId="49" fontId="13" fillId="7" borderId="3" xfId="0" applyNumberFormat="1" applyFont="1" applyFill="1" applyBorder="1" applyAlignment="1" applyProtection="1">
      <alignment horizontal="center" vertical="center" wrapText="1"/>
    </xf>
    <xf numFmtId="170" fontId="12" fillId="7" borderId="3" xfId="0" applyNumberFormat="1" applyFont="1" applyFill="1" applyBorder="1" applyAlignment="1" applyProtection="1">
      <alignment horizontal="center" vertical="center" wrapText="1"/>
    </xf>
    <xf numFmtId="170" fontId="13" fillId="7" borderId="3" xfId="0" applyNumberFormat="1" applyFont="1" applyFill="1" applyBorder="1" applyAlignment="1">
      <alignment vertical="center"/>
    </xf>
    <xf numFmtId="170" fontId="17" fillId="2" borderId="4" xfId="0" applyNumberFormat="1" applyFont="1" applyFill="1" applyBorder="1" applyAlignment="1" applyProtection="1">
      <alignment horizontal="center" vertical="center" wrapText="1"/>
    </xf>
    <xf numFmtId="170" fontId="17" fillId="2" borderId="6" xfId="0" applyNumberFormat="1" applyFont="1" applyFill="1" applyBorder="1" applyAlignment="1" applyProtection="1">
      <alignment horizontal="center" vertical="center" wrapText="1"/>
    </xf>
    <xf numFmtId="165" fontId="12" fillId="7" borderId="4" xfId="0" applyNumberFormat="1" applyFont="1" applyFill="1" applyBorder="1" applyAlignment="1" applyProtection="1">
      <alignment horizontal="center" vertical="center" wrapText="1"/>
    </xf>
    <xf numFmtId="165" fontId="12" fillId="7" borderId="6" xfId="0" applyNumberFormat="1" applyFont="1" applyFill="1" applyBorder="1" applyAlignment="1" applyProtection="1">
      <alignment horizontal="center" vertical="center" wrapText="1"/>
    </xf>
    <xf numFmtId="49" fontId="12" fillId="7" borderId="4" xfId="0" applyNumberFormat="1" applyFont="1" applyFill="1" applyBorder="1" applyAlignment="1" applyProtection="1">
      <alignment horizontal="center" vertical="center" wrapText="1"/>
    </xf>
    <xf numFmtId="49" fontId="12" fillId="7" borderId="6" xfId="0" applyNumberFormat="1" applyFont="1" applyFill="1" applyBorder="1" applyAlignment="1" applyProtection="1">
      <alignment horizontal="center" vertical="center" wrapText="1"/>
    </xf>
    <xf numFmtId="49" fontId="12" fillId="7" borderId="4" xfId="0" applyNumberFormat="1" applyFont="1" applyFill="1" applyBorder="1" applyAlignment="1" applyProtection="1">
      <alignment horizontal="left" vertical="center" wrapText="1"/>
    </xf>
    <xf numFmtId="49" fontId="12" fillId="7" borderId="6" xfId="0" applyNumberFormat="1" applyFont="1" applyFill="1" applyBorder="1" applyAlignment="1" applyProtection="1">
      <alignment horizontal="left" vertical="center" wrapText="1"/>
    </xf>
    <xf numFmtId="170" fontId="17" fillId="7" borderId="4" xfId="0" applyNumberFormat="1" applyFont="1" applyFill="1" applyBorder="1" applyAlignment="1" applyProtection="1">
      <alignment horizontal="center" vertical="center" wrapText="1"/>
    </xf>
    <xf numFmtId="170" fontId="17" fillId="7" borderId="6" xfId="0" applyNumberFormat="1" applyFont="1" applyFill="1" applyBorder="1" applyAlignment="1" applyProtection="1">
      <alignment horizontal="center" vertical="center" wrapText="1"/>
    </xf>
    <xf numFmtId="170" fontId="17" fillId="7" borderId="5" xfId="0" applyNumberFormat="1" applyFont="1" applyFill="1" applyBorder="1" applyAlignment="1" applyProtection="1">
      <alignment horizontal="center" vertical="center" wrapText="1"/>
    </xf>
    <xf numFmtId="170" fontId="17" fillId="2" borderId="5" xfId="0" applyNumberFormat="1" applyFont="1" applyFill="1" applyBorder="1" applyAlignment="1" applyProtection="1">
      <alignment horizontal="center" vertical="center" wrapText="1"/>
    </xf>
    <xf numFmtId="4" fontId="17" fillId="7" borderId="6" xfId="0" applyNumberFormat="1" applyFont="1" applyFill="1" applyBorder="1" applyAlignment="1" applyProtection="1">
      <alignment horizontal="center" vertical="center" wrapText="1"/>
    </xf>
    <xf numFmtId="49" fontId="12" fillId="7" borderId="5" xfId="0" applyNumberFormat="1" applyFont="1" applyFill="1" applyBorder="1" applyAlignment="1" applyProtection="1">
      <alignment horizontal="center" vertical="center" wrapText="1"/>
    </xf>
    <xf numFmtId="165" fontId="12" fillId="7" borderId="5" xfId="0" applyNumberFormat="1" applyFont="1" applyFill="1" applyBorder="1" applyAlignment="1" applyProtection="1">
      <alignment horizontal="center" vertical="center" wrapText="1"/>
    </xf>
    <xf numFmtId="165" fontId="12" fillId="7" borderId="4" xfId="0" applyNumberFormat="1" applyFont="1" applyFill="1" applyBorder="1" applyAlignment="1" applyProtection="1">
      <alignment horizontal="left" vertical="center" wrapText="1"/>
    </xf>
    <xf numFmtId="165" fontId="12" fillId="7" borderId="5" xfId="0" applyNumberFormat="1" applyFont="1" applyFill="1" applyBorder="1" applyAlignment="1" applyProtection="1">
      <alignment horizontal="left" vertical="center" wrapText="1"/>
    </xf>
    <xf numFmtId="166" fontId="11" fillId="7" borderId="5" xfId="0" applyNumberFormat="1" applyFont="1" applyFill="1" applyBorder="1" applyAlignment="1" applyProtection="1">
      <alignment horizontal="center" vertical="center" wrapText="1"/>
    </xf>
    <xf numFmtId="166" fontId="11" fillId="7" borderId="6" xfId="0" applyNumberFormat="1" applyFont="1" applyFill="1" applyBorder="1" applyAlignment="1" applyProtection="1">
      <alignment horizontal="center" vertical="center" wrapText="1"/>
    </xf>
    <xf numFmtId="4" fontId="17" fillId="2" borderId="5" xfId="0" applyNumberFormat="1"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170" fontId="13" fillId="2" borderId="3" xfId="0" applyNumberFormat="1" applyFont="1" applyFill="1" applyBorder="1" applyAlignment="1" applyProtection="1">
      <alignment horizontal="center" vertical="center" wrapText="1"/>
    </xf>
    <xf numFmtId="170" fontId="12" fillId="7" borderId="3" xfId="0" applyNumberFormat="1" applyFont="1" applyFill="1" applyBorder="1" applyAlignment="1">
      <alignment horizontal="center" vertical="center"/>
    </xf>
    <xf numFmtId="165" fontId="12" fillId="0" borderId="3" xfId="0" applyNumberFormat="1" applyFont="1" applyBorder="1" applyAlignment="1" applyProtection="1">
      <alignment horizontal="left" vertical="center" wrapText="1"/>
    </xf>
    <xf numFmtId="170" fontId="17" fillId="7" borderId="4" xfId="0" applyNumberFormat="1" applyFont="1" applyFill="1" applyBorder="1" applyAlignment="1">
      <alignment horizontal="center" vertical="center"/>
    </xf>
    <xf numFmtId="49" fontId="12" fillId="7" borderId="3" xfId="0" applyNumberFormat="1" applyFont="1" applyFill="1" applyBorder="1" applyAlignment="1" applyProtection="1">
      <alignment vertical="center" wrapText="1"/>
    </xf>
    <xf numFmtId="170" fontId="16" fillId="7" borderId="3" xfId="0" applyNumberFormat="1" applyFont="1" applyFill="1" applyBorder="1" applyAlignment="1" applyProtection="1">
      <alignment horizontal="center" vertical="center"/>
    </xf>
    <xf numFmtId="165" fontId="12" fillId="0" borderId="9" xfId="0" applyNumberFormat="1" applyFont="1" applyBorder="1" applyAlignment="1" applyProtection="1">
      <alignment horizontal="left" vertical="center" wrapText="1"/>
    </xf>
    <xf numFmtId="49" fontId="11" fillId="0" borderId="10" xfId="0" applyNumberFormat="1" applyFont="1" applyBorder="1" applyAlignment="1" applyProtection="1">
      <alignment horizontal="left" vertical="center" wrapText="1"/>
    </xf>
    <xf numFmtId="49" fontId="12" fillId="0" borderId="10" xfId="0" applyNumberFormat="1" applyFont="1" applyBorder="1" applyAlignment="1" applyProtection="1">
      <alignment horizontal="center" vertical="center" wrapText="1"/>
    </xf>
    <xf numFmtId="165" fontId="12" fillId="0" borderId="10" xfId="0" applyNumberFormat="1" applyFont="1" applyBorder="1" applyAlignment="1" applyProtection="1">
      <alignment horizontal="left" vertical="center" wrapText="1"/>
    </xf>
    <xf numFmtId="0" fontId="12" fillId="0" borderId="3" xfId="0" applyFont="1" applyFill="1" applyBorder="1" applyAlignment="1">
      <alignment horizontal="center" vertical="center" wrapText="1"/>
    </xf>
    <xf numFmtId="49" fontId="11" fillId="0" borderId="3" xfId="0" applyNumberFormat="1" applyFont="1" applyBorder="1" applyAlignment="1" applyProtection="1">
      <alignment horizontal="left" vertical="center" wrapText="1"/>
    </xf>
    <xf numFmtId="49" fontId="12" fillId="0" borderId="6"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left" vertical="center" wrapText="1"/>
    </xf>
    <xf numFmtId="49" fontId="12" fillId="0" borderId="3" xfId="0" applyNumberFormat="1" applyFont="1" applyBorder="1" applyAlignment="1" applyProtection="1">
      <alignment horizontal="center" vertical="center" wrapText="1"/>
    </xf>
    <xf numFmtId="165" fontId="12" fillId="0" borderId="6" xfId="0" applyNumberFormat="1" applyFont="1" applyBorder="1" applyAlignment="1" applyProtection="1">
      <alignment horizontal="center" vertical="center" wrapText="1"/>
    </xf>
    <xf numFmtId="165" fontId="12" fillId="0" borderId="6" xfId="0" applyNumberFormat="1" applyFont="1" applyBorder="1" applyAlignment="1" applyProtection="1">
      <alignment horizontal="left" vertical="center" wrapText="1"/>
    </xf>
    <xf numFmtId="49" fontId="12" fillId="0" borderId="4" xfId="0" applyNumberFormat="1" applyFont="1" applyBorder="1" applyAlignment="1" applyProtection="1">
      <alignment vertical="center" wrapText="1"/>
    </xf>
    <xf numFmtId="0" fontId="12" fillId="7" borderId="3" xfId="0" applyFont="1" applyFill="1" applyBorder="1" applyAlignment="1">
      <alignment horizontal="center" vertical="center" wrapText="1"/>
    </xf>
    <xf numFmtId="165" fontId="11" fillId="0" borderId="3" xfId="0" applyNumberFormat="1" applyFont="1" applyBorder="1" applyAlignment="1" applyProtection="1">
      <alignment horizontal="left" vertical="center" wrapText="1"/>
    </xf>
    <xf numFmtId="49" fontId="12" fillId="0" borderId="3" xfId="0" applyNumberFormat="1" applyFont="1" applyBorder="1" applyAlignment="1" applyProtection="1">
      <alignment horizontal="left" vertical="center" wrapText="1"/>
    </xf>
    <xf numFmtId="0" fontId="12" fillId="0" borderId="3" xfId="0" applyFont="1" applyBorder="1" applyAlignment="1">
      <alignment horizontal="center" vertical="center" wrapText="1"/>
    </xf>
    <xf numFmtId="170" fontId="11" fillId="7" borderId="3" xfId="0" applyNumberFormat="1" applyFont="1" applyFill="1" applyBorder="1"/>
    <xf numFmtId="170" fontId="20" fillId="7" borderId="3" xfId="0" applyNumberFormat="1" applyFont="1" applyFill="1" applyBorder="1" applyAlignment="1" applyProtection="1">
      <alignment horizontal="center" vertical="center" wrapText="1"/>
    </xf>
    <xf numFmtId="170" fontId="13" fillId="7" borderId="0" xfId="0" applyNumberFormat="1" applyFont="1" applyFill="1" applyBorder="1" applyAlignment="1" applyProtection="1">
      <alignment horizontal="center" vertical="center"/>
    </xf>
    <xf numFmtId="170" fontId="16" fillId="7" borderId="0" xfId="0" applyNumberFormat="1" applyFont="1" applyFill="1" applyAlignment="1">
      <alignment horizontal="center"/>
    </xf>
    <xf numFmtId="170" fontId="13" fillId="7" borderId="0" xfId="0" applyNumberFormat="1" applyFont="1" applyFill="1"/>
    <xf numFmtId="49" fontId="11" fillId="7" borderId="3" xfId="0" applyNumberFormat="1" applyFont="1" applyFill="1" applyBorder="1" applyAlignment="1" applyProtection="1">
      <alignment horizontal="center" vertical="center"/>
    </xf>
    <xf numFmtId="4" fontId="13" fillId="7" borderId="3" xfId="0" applyNumberFormat="1" applyFont="1" applyFill="1" applyBorder="1" applyAlignment="1" applyProtection="1">
      <alignment horizontal="center" vertical="center"/>
    </xf>
    <xf numFmtId="49" fontId="12" fillId="7" borderId="4" xfId="0" applyNumberFormat="1" applyFont="1" applyFill="1" applyBorder="1" applyAlignment="1" applyProtection="1">
      <alignment horizontal="center" vertical="center" wrapText="1"/>
    </xf>
    <xf numFmtId="165" fontId="12" fillId="7" borderId="4" xfId="0" applyNumberFormat="1" applyFont="1" applyFill="1" applyBorder="1" applyAlignment="1" applyProtection="1">
      <alignment horizontal="center" vertical="center" wrapText="1"/>
    </xf>
    <xf numFmtId="4" fontId="13" fillId="7" borderId="0" xfId="0" applyNumberFormat="1" applyFont="1" applyFill="1" applyBorder="1" applyAlignment="1" applyProtection="1">
      <alignment horizontal="center" vertical="center"/>
    </xf>
    <xf numFmtId="170" fontId="16" fillId="7" borderId="0" xfId="0" applyNumberFormat="1" applyFont="1" applyFill="1" applyBorder="1" applyAlignment="1" applyProtection="1">
      <alignment horizontal="center" vertical="center"/>
    </xf>
    <xf numFmtId="0" fontId="20" fillId="7" borderId="0" xfId="0" applyFont="1" applyFill="1"/>
    <xf numFmtId="0" fontId="14" fillId="7" borderId="0" xfId="0" applyFont="1" applyFill="1"/>
    <xf numFmtId="0" fontId="12" fillId="7" borderId="0" xfId="0" applyFont="1" applyFill="1" applyBorder="1" applyAlignment="1">
      <alignment horizontal="left" wrapText="1"/>
    </xf>
    <xf numFmtId="0" fontId="12" fillId="7" borderId="1" xfId="0" applyFont="1" applyFill="1" applyBorder="1" applyAlignment="1">
      <alignment horizontal="left" wrapText="1"/>
    </xf>
    <xf numFmtId="49" fontId="11" fillId="7" borderId="0" xfId="0" applyNumberFormat="1" applyFont="1" applyFill="1" applyBorder="1" applyAlignment="1" applyProtection="1">
      <alignment horizontal="center" vertical="center"/>
    </xf>
    <xf numFmtId="171" fontId="0" fillId="0" borderId="0" xfId="4" applyNumberFormat="1" applyFont="1"/>
    <xf numFmtId="9" fontId="0" fillId="0" borderId="0" xfId="4" applyFont="1"/>
    <xf numFmtId="0" fontId="0" fillId="4" borderId="0" xfId="0" applyFill="1"/>
    <xf numFmtId="49" fontId="7" fillId="4" borderId="3" xfId="0" applyNumberFormat="1" applyFont="1" applyFill="1" applyBorder="1" applyAlignment="1" applyProtection="1">
      <alignment horizontal="left" vertical="center" wrapText="1"/>
    </xf>
    <xf numFmtId="49" fontId="7" fillId="4" borderId="3" xfId="0" applyNumberFormat="1" applyFont="1" applyFill="1" applyBorder="1" applyAlignment="1" applyProtection="1">
      <alignment horizontal="center" vertical="center" wrapText="1"/>
    </xf>
    <xf numFmtId="164" fontId="7" fillId="4" borderId="3" xfId="0" applyNumberFormat="1" applyFont="1" applyFill="1" applyBorder="1" applyAlignment="1" applyProtection="1">
      <alignment horizontal="right" vertical="center" wrapText="1"/>
    </xf>
    <xf numFmtId="164" fontId="0" fillId="4" borderId="0" xfId="0" applyNumberFormat="1" applyFill="1"/>
    <xf numFmtId="0" fontId="24" fillId="0" borderId="3" xfId="0" applyFont="1" applyBorder="1" applyAlignment="1">
      <alignment horizontal="center" vertical="center" wrapText="1"/>
    </xf>
    <xf numFmtId="174" fontId="24" fillId="0" borderId="11" xfId="0" applyNumberFormat="1" applyFont="1" applyBorder="1" applyAlignment="1">
      <alignment horizontal="right" vertical="center" wrapText="1"/>
    </xf>
    <xf numFmtId="4" fontId="22" fillId="2" borderId="0" xfId="0" applyNumberFormat="1" applyFont="1" applyFill="1"/>
    <xf numFmtId="164" fontId="24" fillId="0" borderId="3" xfId="0" applyNumberFormat="1" applyFont="1" applyBorder="1" applyAlignment="1">
      <alignment horizontal="center" vertical="center" wrapText="1"/>
    </xf>
    <xf numFmtId="171" fontId="0" fillId="4" borderId="0" xfId="4" applyNumberFormat="1" applyFont="1" applyFill="1"/>
    <xf numFmtId="164" fontId="0" fillId="0" borderId="0" xfId="0" applyNumberFormat="1" applyFill="1"/>
    <xf numFmtId="164" fontId="9" fillId="6" borderId="3" xfId="0" applyNumberFormat="1" applyFont="1" applyFill="1" applyBorder="1" applyAlignment="1" applyProtection="1">
      <alignment horizontal="right" vertical="center" wrapText="1"/>
    </xf>
    <xf numFmtId="43" fontId="23" fillId="0" borderId="0" xfId="1" applyFont="1"/>
    <xf numFmtId="43" fontId="23" fillId="4" borderId="0" xfId="1" applyFont="1" applyFill="1"/>
    <xf numFmtId="49" fontId="12" fillId="7" borderId="4"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3" fillId="0" borderId="2" xfId="0" applyFont="1" applyBorder="1" applyAlignment="1" applyProtection="1">
      <alignment horizontal="left"/>
    </xf>
    <xf numFmtId="0" fontId="6" fillId="0" borderId="0" xfId="0" applyFont="1" applyBorder="1" applyAlignment="1" applyProtection="1">
      <alignment horizontal="center"/>
    </xf>
    <xf numFmtId="49" fontId="7" fillId="0" borderId="0" xfId="0" applyNumberFormat="1" applyFont="1" applyBorder="1" applyAlignment="1" applyProtection="1">
      <alignment horizontal="left" wrapText="1"/>
    </xf>
    <xf numFmtId="49" fontId="12" fillId="7" borderId="4" xfId="0" applyNumberFormat="1" applyFont="1" applyFill="1" applyBorder="1" applyAlignment="1" applyProtection="1">
      <alignment horizontal="center" vertical="center" wrapText="1"/>
    </xf>
    <xf numFmtId="49" fontId="12" fillId="7" borderId="5" xfId="0" applyNumberFormat="1" applyFont="1" applyFill="1" applyBorder="1" applyAlignment="1" applyProtection="1">
      <alignment horizontal="center" vertical="center" wrapText="1"/>
    </xf>
    <xf numFmtId="49" fontId="12" fillId="7" borderId="6" xfId="0" applyNumberFormat="1" applyFont="1" applyFill="1" applyBorder="1" applyAlignment="1" applyProtection="1">
      <alignment horizontal="center" vertical="center" wrapText="1"/>
    </xf>
    <xf numFmtId="165" fontId="12" fillId="7" borderId="4" xfId="0" applyNumberFormat="1" applyFont="1" applyFill="1" applyBorder="1" applyAlignment="1" applyProtection="1">
      <alignment horizontal="center" vertical="center" wrapText="1"/>
    </xf>
    <xf numFmtId="165" fontId="12" fillId="7" borderId="5" xfId="0" applyNumberFormat="1" applyFont="1" applyFill="1" applyBorder="1" applyAlignment="1" applyProtection="1">
      <alignment horizontal="center" vertical="center" wrapText="1"/>
    </xf>
    <xf numFmtId="165" fontId="12" fillId="7" borderId="6" xfId="0" applyNumberFormat="1" applyFont="1" applyFill="1" applyBorder="1" applyAlignment="1" applyProtection="1">
      <alignment horizontal="center" vertical="center" wrapText="1"/>
    </xf>
    <xf numFmtId="165" fontId="12" fillId="0" borderId="4" xfId="0" applyNumberFormat="1" applyFont="1" applyBorder="1" applyAlignment="1" applyProtection="1">
      <alignment horizontal="left" vertical="center" wrapText="1"/>
    </xf>
    <xf numFmtId="165" fontId="12" fillId="0" borderId="5" xfId="0" applyNumberFormat="1" applyFont="1" applyBorder="1" applyAlignment="1" applyProtection="1">
      <alignment horizontal="left" vertical="center" wrapText="1"/>
    </xf>
    <xf numFmtId="165" fontId="12" fillId="0" borderId="6" xfId="0" applyNumberFormat="1" applyFont="1" applyBorder="1" applyAlignment="1" applyProtection="1">
      <alignment horizontal="left" vertical="center" wrapText="1"/>
    </xf>
    <xf numFmtId="49" fontId="12" fillId="0" borderId="4" xfId="0" applyNumberFormat="1" applyFont="1" applyBorder="1" applyAlignment="1" applyProtection="1">
      <alignment horizontal="center" vertical="center" wrapText="1"/>
    </xf>
    <xf numFmtId="49" fontId="12" fillId="0" borderId="5"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center" vertical="center" wrapText="1"/>
    </xf>
    <xf numFmtId="170" fontId="17" fillId="7" borderId="4" xfId="0" applyNumberFormat="1" applyFont="1" applyFill="1" applyBorder="1" applyAlignment="1" applyProtection="1">
      <alignment horizontal="center" vertical="center" wrapText="1"/>
    </xf>
    <xf numFmtId="170" fontId="17" fillId="7" borderId="5" xfId="0" applyNumberFormat="1" applyFont="1" applyFill="1" applyBorder="1" applyAlignment="1" applyProtection="1">
      <alignment horizontal="center" vertical="center" wrapText="1"/>
    </xf>
    <xf numFmtId="170" fontId="17" fillId="7" borderId="6" xfId="0" applyNumberFormat="1" applyFont="1" applyFill="1" applyBorder="1" applyAlignment="1" applyProtection="1">
      <alignment horizontal="center" vertical="center" wrapText="1"/>
    </xf>
    <xf numFmtId="49" fontId="12" fillId="0" borderId="4"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0" fontId="12" fillId="7" borderId="0" xfId="0" applyFont="1" applyFill="1" applyBorder="1" applyAlignment="1">
      <alignment horizontal="center" wrapText="1"/>
    </xf>
    <xf numFmtId="0" fontId="12" fillId="2" borderId="0" xfId="0" applyFont="1" applyFill="1" applyBorder="1" applyAlignment="1">
      <alignment horizontal="left" wrapText="1"/>
    </xf>
    <xf numFmtId="0" fontId="17" fillId="7" borderId="2" xfId="0" applyFont="1" applyFill="1" applyBorder="1" applyAlignment="1">
      <alignment horizontal="left" wrapText="1"/>
    </xf>
    <xf numFmtId="170" fontId="17" fillId="2" borderId="4" xfId="0" applyNumberFormat="1" applyFont="1" applyFill="1" applyBorder="1" applyAlignment="1" applyProtection="1">
      <alignment horizontal="center" vertical="center" wrapText="1"/>
    </xf>
    <xf numFmtId="170" fontId="17" fillId="2" borderId="6" xfId="0" applyNumberFormat="1" applyFont="1" applyFill="1" applyBorder="1" applyAlignment="1" applyProtection="1">
      <alignment horizontal="center" vertical="center" wrapText="1"/>
    </xf>
    <xf numFmtId="49" fontId="12" fillId="7" borderId="4" xfId="0" applyNumberFormat="1" applyFont="1" applyFill="1" applyBorder="1" applyAlignment="1" applyProtection="1">
      <alignment horizontal="left" vertical="center" wrapText="1"/>
    </xf>
    <xf numFmtId="49" fontId="12" fillId="7" borderId="6" xfId="0" applyNumberFormat="1" applyFont="1" applyFill="1" applyBorder="1" applyAlignment="1" applyProtection="1">
      <alignment horizontal="left" vertical="center" wrapText="1"/>
    </xf>
    <xf numFmtId="170" fontId="17" fillId="2" borderId="5" xfId="0" applyNumberFormat="1" applyFont="1" applyFill="1" applyBorder="1" applyAlignment="1" applyProtection="1">
      <alignment horizontal="center" vertical="center" wrapText="1"/>
    </xf>
    <xf numFmtId="4" fontId="17" fillId="7" borderId="4" xfId="0" applyNumberFormat="1" applyFont="1" applyFill="1" applyBorder="1" applyAlignment="1" applyProtection="1">
      <alignment horizontal="center" vertical="center" wrapText="1"/>
    </xf>
    <xf numFmtId="4" fontId="17" fillId="7" borderId="6" xfId="0" applyNumberFormat="1" applyFont="1" applyFill="1" applyBorder="1" applyAlignment="1" applyProtection="1">
      <alignment horizontal="center" vertical="center" wrapText="1"/>
    </xf>
    <xf numFmtId="49" fontId="12" fillId="7" borderId="5" xfId="0" applyNumberFormat="1" applyFont="1" applyFill="1" applyBorder="1" applyAlignment="1" applyProtection="1">
      <alignment horizontal="left" vertical="center" wrapText="1"/>
    </xf>
    <xf numFmtId="4" fontId="17" fillId="7" borderId="5" xfId="0" applyNumberFormat="1" applyFont="1" applyFill="1" applyBorder="1" applyAlignment="1" applyProtection="1">
      <alignment horizontal="center" vertical="center" wrapText="1"/>
    </xf>
    <xf numFmtId="49" fontId="17" fillId="7" borderId="4" xfId="0" applyNumberFormat="1" applyFont="1" applyFill="1" applyBorder="1" applyAlignment="1" applyProtection="1">
      <alignment horizontal="center" vertical="center" wrapText="1"/>
    </xf>
    <xf numFmtId="49" fontId="17" fillId="7" borderId="5" xfId="0" applyNumberFormat="1" applyFont="1" applyFill="1" applyBorder="1" applyAlignment="1" applyProtection="1">
      <alignment horizontal="center" vertical="center" wrapText="1"/>
    </xf>
    <xf numFmtId="49" fontId="17" fillId="7" borderId="6" xfId="0" applyNumberFormat="1" applyFont="1" applyFill="1" applyBorder="1" applyAlignment="1" applyProtection="1">
      <alignment horizontal="center" vertical="center" wrapText="1"/>
    </xf>
    <xf numFmtId="170" fontId="12" fillId="7" borderId="4" xfId="0" applyNumberFormat="1" applyFont="1" applyFill="1" applyBorder="1" applyAlignment="1" applyProtection="1">
      <alignment horizontal="center" vertical="center" wrapText="1"/>
    </xf>
    <xf numFmtId="170" fontId="12" fillId="7" borderId="5" xfId="0" applyNumberFormat="1" applyFont="1" applyFill="1" applyBorder="1" applyAlignment="1" applyProtection="1">
      <alignment horizontal="center" vertical="center" wrapText="1"/>
    </xf>
    <xf numFmtId="170" fontId="12" fillId="7" borderId="6" xfId="0" applyNumberFormat="1" applyFont="1" applyFill="1" applyBorder="1" applyAlignment="1" applyProtection="1">
      <alignment horizontal="center" vertical="center" wrapText="1"/>
    </xf>
    <xf numFmtId="165" fontId="12" fillId="7" borderId="4" xfId="0" applyNumberFormat="1" applyFont="1" applyFill="1" applyBorder="1" applyAlignment="1" applyProtection="1">
      <alignment horizontal="left" vertical="center" wrapText="1"/>
    </xf>
    <xf numFmtId="165" fontId="12" fillId="7" borderId="5" xfId="0" applyNumberFormat="1" applyFont="1" applyFill="1" applyBorder="1" applyAlignment="1" applyProtection="1">
      <alignment horizontal="left" vertical="center" wrapText="1"/>
    </xf>
    <xf numFmtId="165" fontId="12" fillId="7" borderId="6" xfId="0" applyNumberFormat="1" applyFont="1" applyFill="1" applyBorder="1" applyAlignment="1" applyProtection="1">
      <alignment horizontal="left" vertical="center" wrapText="1"/>
    </xf>
    <xf numFmtId="170" fontId="14" fillId="2" borderId="4" xfId="0" applyNumberFormat="1" applyFont="1" applyFill="1" applyBorder="1" applyAlignment="1" applyProtection="1">
      <alignment horizontal="center" vertical="center" wrapText="1"/>
    </xf>
    <xf numFmtId="170" fontId="14" fillId="2" borderId="5" xfId="0" applyNumberFormat="1" applyFont="1" applyFill="1" applyBorder="1" applyAlignment="1" applyProtection="1">
      <alignment horizontal="center" vertical="center" wrapText="1"/>
    </xf>
    <xf numFmtId="170" fontId="14" fillId="2" borderId="6" xfId="0" applyNumberFormat="1" applyFont="1" applyFill="1" applyBorder="1" applyAlignment="1" applyProtection="1">
      <alignment horizontal="center" vertical="center" wrapText="1"/>
    </xf>
    <xf numFmtId="167" fontId="17" fillId="7" borderId="4" xfId="0" applyNumberFormat="1" applyFont="1" applyFill="1" applyBorder="1" applyAlignment="1" applyProtection="1">
      <alignment horizontal="center" vertical="center" wrapText="1"/>
    </xf>
    <xf numFmtId="167" fontId="17" fillId="7" borderId="5" xfId="0" applyNumberFormat="1" applyFont="1" applyFill="1" applyBorder="1" applyAlignment="1" applyProtection="1">
      <alignment horizontal="center" vertical="center" wrapText="1"/>
    </xf>
    <xf numFmtId="167" fontId="17" fillId="7" borderId="6" xfId="0" applyNumberFormat="1" applyFont="1" applyFill="1" applyBorder="1" applyAlignment="1" applyProtection="1">
      <alignment horizontal="center" vertical="center" wrapText="1"/>
    </xf>
    <xf numFmtId="166" fontId="12" fillId="7" borderId="4" xfId="0" applyNumberFormat="1" applyFont="1" applyFill="1" applyBorder="1" applyAlignment="1" applyProtection="1">
      <alignment horizontal="center" vertical="center" wrapText="1"/>
    </xf>
    <xf numFmtId="166" fontId="11" fillId="7" borderId="5" xfId="0" applyNumberFormat="1" applyFont="1" applyFill="1" applyBorder="1" applyAlignment="1" applyProtection="1">
      <alignment horizontal="center" vertical="center" wrapText="1"/>
    </xf>
    <xf numFmtId="166" fontId="11" fillId="7" borderId="6" xfId="0" applyNumberFormat="1" applyFont="1" applyFill="1" applyBorder="1" applyAlignment="1" applyProtection="1">
      <alignment horizontal="center" vertical="center" wrapText="1"/>
    </xf>
    <xf numFmtId="4" fontId="17" fillId="2" borderId="4" xfId="0" applyNumberFormat="1" applyFont="1" applyFill="1" applyBorder="1" applyAlignment="1" applyProtection="1">
      <alignment horizontal="center" vertical="center" wrapText="1"/>
    </xf>
    <xf numFmtId="4" fontId="17" fillId="2" borderId="5" xfId="0" applyNumberFormat="1" applyFont="1" applyFill="1" applyBorder="1" applyAlignment="1" applyProtection="1">
      <alignment horizontal="center" vertical="center" wrapText="1"/>
    </xf>
    <xf numFmtId="4" fontId="17" fillId="2" borderId="6" xfId="0" applyNumberFormat="1" applyFont="1" applyFill="1" applyBorder="1" applyAlignment="1" applyProtection="1">
      <alignment horizontal="center" vertical="center" wrapText="1"/>
    </xf>
    <xf numFmtId="170" fontId="17" fillId="0" borderId="4" xfId="0" applyNumberFormat="1" applyFont="1" applyFill="1" applyBorder="1" applyAlignment="1" applyProtection="1">
      <alignment horizontal="center" vertical="center" wrapText="1"/>
    </xf>
    <xf numFmtId="170" fontId="17" fillId="0" borderId="5" xfId="0" applyNumberFormat="1"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6" fillId="7" borderId="3"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170" fontId="11" fillId="7" borderId="3" xfId="0" applyNumberFormat="1" applyFont="1" applyFill="1" applyBorder="1" applyAlignment="1" applyProtection="1">
      <alignment horizontal="center" vertical="center" wrapText="1"/>
    </xf>
    <xf numFmtId="170" fontId="13" fillId="2" borderId="3" xfId="0" applyNumberFormat="1" applyFont="1" applyFill="1" applyBorder="1" applyAlignment="1" applyProtection="1">
      <alignment horizontal="center" vertical="center" wrapText="1"/>
    </xf>
    <xf numFmtId="166" fontId="12" fillId="7" borderId="5" xfId="0" applyNumberFormat="1" applyFont="1" applyFill="1" applyBorder="1" applyAlignment="1" applyProtection="1">
      <alignment horizontal="center" vertical="center" wrapText="1"/>
    </xf>
    <xf numFmtId="2" fontId="12" fillId="7" borderId="4" xfId="0" applyNumberFormat="1" applyFont="1" applyFill="1" applyBorder="1" applyAlignment="1" applyProtection="1">
      <alignment horizontal="center" vertical="center" wrapText="1"/>
    </xf>
    <xf numFmtId="2" fontId="12" fillId="7" borderId="5" xfId="0" applyNumberFormat="1" applyFont="1" applyFill="1" applyBorder="1" applyAlignment="1" applyProtection="1">
      <alignment horizontal="center" vertical="center" wrapText="1"/>
    </xf>
  </cellXfs>
  <cellStyles count="5">
    <cellStyle name="xl34" xfId="2"/>
    <cellStyle name="xl52" xfId="3"/>
    <cellStyle name="Обычный" xfId="0" builtinId="0"/>
    <cellStyle name="Процентный" xfId="4"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upr/Desktop/&#1084;&#1086;&#1103;/&#1080;&#1089;&#1087;&#1086;&#1083;&#1085;&#1077;&#1085;&#1080;&#1077;%20&#1073;&#1102;&#1076;&#1078;&#1077;&#1090;&#1072;/2018&#1075;/&#1085;&#1072;%2001.01.2019&#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доходов"/>
    </sheetNames>
    <sheetDataSet>
      <sheetData sheetId="0" refreshError="1">
        <row r="186">
          <cell r="K186">
            <v>50747.847999999998</v>
          </cell>
        </row>
        <row r="329">
          <cell r="N329">
            <v>1430968.2940000002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7"/>
  <sheetViews>
    <sheetView showGridLines="0" workbookViewId="0">
      <pane ySplit="10" topLeftCell="A352" activePane="bottomLeft" state="frozen"/>
      <selection pane="bottomLeft" activeCell="A16" sqref="A16"/>
    </sheetView>
  </sheetViews>
  <sheetFormatPr defaultRowHeight="12.75" customHeight="1" x14ac:dyDescent="0.2"/>
  <cols>
    <col min="1" max="1" width="44.7109375" customWidth="1"/>
    <col min="2" max="2" width="18.140625" customWidth="1"/>
    <col min="3" max="4" width="8.7109375" customWidth="1"/>
    <col min="5" max="8" width="14" customWidth="1"/>
    <col min="9" max="10" width="16.7109375" customWidth="1"/>
    <col min="11" max="11" width="12.28515625" bestFit="1" customWidth="1"/>
    <col min="12" max="12" width="12.7109375" customWidth="1"/>
    <col min="13" max="13" width="13.140625" customWidth="1"/>
    <col min="16" max="17" width="14.28515625" customWidth="1"/>
  </cols>
  <sheetData>
    <row r="1" spans="1:12" ht="12.75" customHeight="1" x14ac:dyDescent="0.2">
      <c r="A1" s="1" t="s">
        <v>2</v>
      </c>
      <c r="B1" s="1"/>
      <c r="C1" s="1"/>
      <c r="D1" s="1"/>
      <c r="E1" s="1"/>
      <c r="F1" s="1"/>
      <c r="G1" s="1"/>
      <c r="H1" s="1"/>
      <c r="I1" s="2"/>
      <c r="J1" s="3"/>
    </row>
    <row r="2" spans="1:12" ht="12.75" customHeight="1" x14ac:dyDescent="0.2">
      <c r="A2" s="228" t="s">
        <v>0</v>
      </c>
      <c r="B2" s="228"/>
      <c r="C2" s="228"/>
      <c r="D2" s="228"/>
      <c r="E2" s="228"/>
      <c r="F2" s="228"/>
      <c r="G2" s="228"/>
      <c r="H2" s="228"/>
      <c r="I2" s="4" t="s">
        <v>3</v>
      </c>
      <c r="J2" s="5" t="s">
        <v>1028</v>
      </c>
    </row>
    <row r="3" spans="1:12" ht="12.75" customHeight="1" x14ac:dyDescent="0.2">
      <c r="A3" s="6"/>
      <c r="B3" s="7"/>
      <c r="C3" s="7"/>
      <c r="D3" s="7"/>
      <c r="E3" s="7"/>
      <c r="F3" s="7"/>
      <c r="G3" s="7"/>
      <c r="H3" s="6"/>
      <c r="I3" s="8"/>
      <c r="J3" s="6"/>
    </row>
    <row r="4" spans="1:12" ht="16.5" customHeight="1" x14ac:dyDescent="0.25">
      <c r="A4" s="229" t="s">
        <v>1</v>
      </c>
      <c r="B4" s="229"/>
      <c r="C4" s="229"/>
      <c r="D4" s="229"/>
      <c r="E4" s="229"/>
      <c r="F4" s="229"/>
      <c r="G4" s="229"/>
      <c r="H4" s="229"/>
      <c r="I4" s="229"/>
      <c r="J4" s="229"/>
    </row>
    <row r="5" spans="1:12" ht="18" customHeight="1" x14ac:dyDescent="0.25">
      <c r="A5" s="229" t="s">
        <v>1029</v>
      </c>
      <c r="B5" s="229"/>
      <c r="C5" s="229"/>
      <c r="D5" s="229"/>
      <c r="E5" s="229"/>
      <c r="F5" s="229"/>
      <c r="G5" s="229"/>
      <c r="H5" s="229"/>
      <c r="I5" s="229"/>
      <c r="J5" s="229"/>
    </row>
    <row r="6" spans="1:12" ht="12.75" customHeight="1" x14ac:dyDescent="0.2">
      <c r="A6" s="6"/>
      <c r="B6" s="7"/>
      <c r="C6" s="7"/>
      <c r="D6" s="7"/>
      <c r="E6" s="7"/>
      <c r="F6" s="7"/>
      <c r="G6" s="7"/>
      <c r="H6" s="6"/>
      <c r="I6" s="8"/>
      <c r="J6" s="6"/>
    </row>
    <row r="7" spans="1:12" x14ac:dyDescent="0.2">
      <c r="A7" s="9" t="s">
        <v>4</v>
      </c>
      <c r="B7" s="230" t="s">
        <v>5</v>
      </c>
      <c r="C7" s="230"/>
      <c r="D7" s="230"/>
      <c r="E7" s="230"/>
      <c r="F7" s="230"/>
      <c r="G7" s="230"/>
      <c r="H7" s="230"/>
      <c r="I7" s="230"/>
      <c r="J7" s="230"/>
    </row>
    <row r="8" spans="1:12" ht="12.75" customHeight="1" x14ac:dyDescent="0.2">
      <c r="A8" s="6"/>
      <c r="B8" s="7"/>
      <c r="C8" s="7"/>
      <c r="D8" s="7"/>
      <c r="E8" s="7"/>
      <c r="F8" s="7"/>
      <c r="G8" s="7"/>
      <c r="H8" s="6"/>
      <c r="I8" s="8" t="s">
        <v>439</v>
      </c>
      <c r="J8" s="6"/>
    </row>
    <row r="9" spans="1:12" ht="39.75" customHeight="1" x14ac:dyDescent="0.2">
      <c r="A9" s="227" t="s">
        <v>6</v>
      </c>
      <c r="B9" s="227" t="s">
        <v>7</v>
      </c>
      <c r="C9" s="227" t="s">
        <v>8</v>
      </c>
      <c r="D9" s="227" t="s">
        <v>9</v>
      </c>
      <c r="E9" s="227" t="s">
        <v>10</v>
      </c>
      <c r="F9" s="227" t="s">
        <v>11</v>
      </c>
      <c r="G9" s="227" t="s">
        <v>678</v>
      </c>
      <c r="H9" s="227" t="s">
        <v>1030</v>
      </c>
      <c r="I9" s="10" t="s">
        <v>12</v>
      </c>
      <c r="J9" s="10" t="s">
        <v>14</v>
      </c>
    </row>
    <row r="10" spans="1:12" ht="18.399999999999999" customHeight="1" x14ac:dyDescent="0.2">
      <c r="A10" s="227"/>
      <c r="B10" s="227"/>
      <c r="C10" s="227"/>
      <c r="D10" s="227"/>
      <c r="E10" s="227"/>
      <c r="F10" s="227"/>
      <c r="G10" s="227"/>
      <c r="H10" s="227"/>
      <c r="I10" s="10" t="s">
        <v>13</v>
      </c>
      <c r="J10" s="10" t="s">
        <v>13</v>
      </c>
    </row>
    <row r="11" spans="1:12" ht="18" customHeight="1" x14ac:dyDescent="0.2">
      <c r="A11" s="25" t="s">
        <v>15</v>
      </c>
      <c r="B11" s="26" t="s">
        <v>16</v>
      </c>
      <c r="C11" s="26"/>
      <c r="D11" s="26"/>
      <c r="E11" s="19">
        <v>542434.255</v>
      </c>
      <c r="F11" s="19">
        <v>590269.71900000004</v>
      </c>
      <c r="G11" s="27">
        <v>67362.387000000002</v>
      </c>
      <c r="H11" s="19">
        <v>596769.97600000002</v>
      </c>
      <c r="I11" s="19">
        <v>110.017</v>
      </c>
      <c r="J11" s="19">
        <v>101.101</v>
      </c>
      <c r="K11" s="20">
        <f>F11-E11</f>
        <v>47835.464000000036</v>
      </c>
      <c r="L11" s="20"/>
    </row>
    <row r="12" spans="1:12" ht="18" customHeight="1" x14ac:dyDescent="0.2">
      <c r="A12" s="25" t="s">
        <v>17</v>
      </c>
      <c r="B12" s="26" t="s">
        <v>18</v>
      </c>
      <c r="C12" s="26"/>
      <c r="D12" s="26"/>
      <c r="E12" s="19">
        <v>396092.3</v>
      </c>
      <c r="F12" s="19">
        <v>413092.9</v>
      </c>
      <c r="G12" s="27">
        <v>53848.925000000003</v>
      </c>
      <c r="H12" s="19">
        <v>416227.853</v>
      </c>
      <c r="I12" s="19">
        <v>105.084</v>
      </c>
      <c r="J12" s="19">
        <v>100.759</v>
      </c>
    </row>
    <row r="13" spans="1:12" ht="18" customHeight="1" x14ac:dyDescent="0.2">
      <c r="A13" s="25" t="s">
        <v>19</v>
      </c>
      <c r="B13" s="26" t="s">
        <v>20</v>
      </c>
      <c r="C13" s="26"/>
      <c r="D13" s="26"/>
      <c r="E13" s="19">
        <v>396092.3</v>
      </c>
      <c r="F13" s="19">
        <v>413092.9</v>
      </c>
      <c r="G13" s="27">
        <v>53848.925000000003</v>
      </c>
      <c r="H13" s="19">
        <v>416227.853</v>
      </c>
      <c r="I13" s="19">
        <v>105.084</v>
      </c>
      <c r="J13" s="19">
        <v>100.759</v>
      </c>
      <c r="K13" s="210">
        <f>H13/F13</f>
        <v>1.0075889781693173</v>
      </c>
      <c r="L13" s="20"/>
    </row>
    <row r="14" spans="1:12" ht="67.5" x14ac:dyDescent="0.2">
      <c r="A14" s="14" t="s">
        <v>699</v>
      </c>
      <c r="B14" s="12" t="s">
        <v>21</v>
      </c>
      <c r="C14" s="12"/>
      <c r="D14" s="12"/>
      <c r="E14" s="13">
        <v>384504.2</v>
      </c>
      <c r="F14" s="13">
        <v>401504.8</v>
      </c>
      <c r="G14" s="13">
        <v>53000.44</v>
      </c>
      <c r="H14" s="13">
        <v>406099.27100000001</v>
      </c>
      <c r="I14" s="13">
        <v>105.616</v>
      </c>
      <c r="J14" s="13">
        <v>101.14400000000001</v>
      </c>
      <c r="K14" s="20">
        <f>H13-H44</f>
        <v>408426.70699999999</v>
      </c>
    </row>
    <row r="15" spans="1:12" ht="67.5" x14ac:dyDescent="0.2">
      <c r="A15" s="18" t="s">
        <v>699</v>
      </c>
      <c r="B15" s="16" t="s">
        <v>22</v>
      </c>
      <c r="C15" s="16" t="s">
        <v>23</v>
      </c>
      <c r="D15" s="16" t="s">
        <v>24</v>
      </c>
      <c r="E15" s="17">
        <v>384504.2</v>
      </c>
      <c r="F15" s="17">
        <v>401504.8</v>
      </c>
      <c r="G15" s="17"/>
      <c r="H15" s="17"/>
      <c r="I15" s="17"/>
      <c r="J15" s="17"/>
    </row>
    <row r="16" spans="1:12" ht="101.25" x14ac:dyDescent="0.2">
      <c r="A16" s="14" t="s">
        <v>25</v>
      </c>
      <c r="B16" s="12" t="s">
        <v>26</v>
      </c>
      <c r="C16" s="12"/>
      <c r="D16" s="12"/>
      <c r="E16" s="13"/>
      <c r="F16" s="13"/>
      <c r="G16" s="13">
        <v>53021.478000000003</v>
      </c>
      <c r="H16" s="13">
        <v>405424.21500000003</v>
      </c>
      <c r="I16" s="13"/>
      <c r="J16" s="13"/>
    </row>
    <row r="17" spans="1:10" ht="90" x14ac:dyDescent="0.2">
      <c r="A17" s="18" t="s">
        <v>25</v>
      </c>
      <c r="B17" s="16" t="s">
        <v>27</v>
      </c>
      <c r="C17" s="16" t="s">
        <v>23</v>
      </c>
      <c r="D17" s="16" t="s">
        <v>24</v>
      </c>
      <c r="E17" s="17"/>
      <c r="F17" s="17"/>
      <c r="G17" s="17">
        <v>53021.478000000003</v>
      </c>
      <c r="H17" s="17">
        <v>405424.21500000003</v>
      </c>
      <c r="I17" s="17"/>
      <c r="J17" s="17"/>
    </row>
    <row r="18" spans="1:10" ht="78.75" x14ac:dyDescent="0.2">
      <c r="A18" s="14" t="s">
        <v>28</v>
      </c>
      <c r="B18" s="12" t="s">
        <v>29</v>
      </c>
      <c r="C18" s="12"/>
      <c r="D18" s="12"/>
      <c r="E18" s="13"/>
      <c r="F18" s="13"/>
      <c r="G18" s="13">
        <v>-33.497</v>
      </c>
      <c r="H18" s="13">
        <v>374.05099999999999</v>
      </c>
      <c r="I18" s="13"/>
      <c r="J18" s="13"/>
    </row>
    <row r="19" spans="1:10" ht="67.5" x14ac:dyDescent="0.2">
      <c r="A19" s="18" t="s">
        <v>28</v>
      </c>
      <c r="B19" s="16" t="s">
        <v>30</v>
      </c>
      <c r="C19" s="16" t="s">
        <v>23</v>
      </c>
      <c r="D19" s="16" t="s">
        <v>24</v>
      </c>
      <c r="E19" s="17"/>
      <c r="F19" s="17"/>
      <c r="G19" s="17">
        <v>-33.497</v>
      </c>
      <c r="H19" s="17">
        <v>374.05099999999999</v>
      </c>
      <c r="I19" s="17"/>
      <c r="J19" s="17"/>
    </row>
    <row r="20" spans="1:10" ht="90" x14ac:dyDescent="0.2">
      <c r="A20" s="14" t="s">
        <v>31</v>
      </c>
      <c r="B20" s="12" t="s">
        <v>32</v>
      </c>
      <c r="C20" s="12"/>
      <c r="D20" s="12"/>
      <c r="E20" s="13"/>
      <c r="F20" s="13"/>
      <c r="G20" s="13">
        <v>12.606999999999999</v>
      </c>
      <c r="H20" s="13">
        <v>301.149</v>
      </c>
      <c r="I20" s="13"/>
      <c r="J20" s="13"/>
    </row>
    <row r="21" spans="1:10" ht="90" x14ac:dyDescent="0.2">
      <c r="A21" s="18" t="s">
        <v>31</v>
      </c>
      <c r="B21" s="16" t="s">
        <v>33</v>
      </c>
      <c r="C21" s="16" t="s">
        <v>23</v>
      </c>
      <c r="D21" s="16" t="s">
        <v>24</v>
      </c>
      <c r="E21" s="17"/>
      <c r="F21" s="17"/>
      <c r="G21" s="17">
        <v>12.606999999999999</v>
      </c>
      <c r="H21" s="17">
        <v>301.149</v>
      </c>
      <c r="I21" s="17"/>
      <c r="J21" s="17"/>
    </row>
    <row r="22" spans="1:10" ht="78.75" x14ac:dyDescent="0.2">
      <c r="A22" s="14" t="s">
        <v>34</v>
      </c>
      <c r="B22" s="12" t="s">
        <v>35</v>
      </c>
      <c r="C22" s="12"/>
      <c r="D22" s="12"/>
      <c r="E22" s="13"/>
      <c r="F22" s="13"/>
      <c r="G22" s="13">
        <v>-4.0000000000000001E-3</v>
      </c>
      <c r="H22" s="13"/>
      <c r="I22" s="13"/>
      <c r="J22" s="13"/>
    </row>
    <row r="23" spans="1:10" ht="67.5" x14ac:dyDescent="0.2">
      <c r="A23" s="18" t="s">
        <v>34</v>
      </c>
      <c r="B23" s="16" t="s">
        <v>36</v>
      </c>
      <c r="C23" s="16" t="s">
        <v>23</v>
      </c>
      <c r="D23" s="16" t="s">
        <v>24</v>
      </c>
      <c r="E23" s="17"/>
      <c r="F23" s="17"/>
      <c r="G23" s="17">
        <v>-4.0000000000000001E-3</v>
      </c>
      <c r="H23" s="17"/>
      <c r="I23" s="17"/>
      <c r="J23" s="17"/>
    </row>
    <row r="24" spans="1:10" ht="101.25" x14ac:dyDescent="0.2">
      <c r="A24" s="14" t="s">
        <v>679</v>
      </c>
      <c r="B24" s="12" t="s">
        <v>680</v>
      </c>
      <c r="C24" s="12"/>
      <c r="D24" s="12"/>
      <c r="E24" s="13"/>
      <c r="F24" s="13"/>
      <c r="G24" s="13">
        <v>-0.14399999999999999</v>
      </c>
      <c r="H24" s="13">
        <v>-0.14399999999999999</v>
      </c>
      <c r="I24" s="13"/>
      <c r="J24" s="13"/>
    </row>
    <row r="25" spans="1:10" ht="90" x14ac:dyDescent="0.2">
      <c r="A25" s="18" t="s">
        <v>679</v>
      </c>
      <c r="B25" s="16" t="s">
        <v>681</v>
      </c>
      <c r="C25" s="16" t="s">
        <v>23</v>
      </c>
      <c r="D25" s="16" t="s">
        <v>24</v>
      </c>
      <c r="E25" s="17"/>
      <c r="F25" s="17"/>
      <c r="G25" s="17">
        <v>-0.14399999999999999</v>
      </c>
      <c r="H25" s="17">
        <v>-0.14399999999999999</v>
      </c>
      <c r="I25" s="17"/>
      <c r="J25" s="17"/>
    </row>
    <row r="26" spans="1:10" ht="101.25" x14ac:dyDescent="0.2">
      <c r="A26" s="14" t="s">
        <v>37</v>
      </c>
      <c r="B26" s="12" t="s">
        <v>38</v>
      </c>
      <c r="C26" s="12"/>
      <c r="D26" s="12"/>
      <c r="E26" s="13">
        <v>1555.1</v>
      </c>
      <c r="F26" s="13">
        <v>1555.1</v>
      </c>
      <c r="G26" s="13">
        <v>70.966999999999999</v>
      </c>
      <c r="H26" s="13">
        <v>1298.414</v>
      </c>
      <c r="I26" s="13">
        <v>83.494</v>
      </c>
      <c r="J26" s="13">
        <v>83.494</v>
      </c>
    </row>
    <row r="27" spans="1:10" ht="90" x14ac:dyDescent="0.2">
      <c r="A27" s="18" t="s">
        <v>37</v>
      </c>
      <c r="B27" s="16" t="s">
        <v>39</v>
      </c>
      <c r="C27" s="16" t="s">
        <v>23</v>
      </c>
      <c r="D27" s="16" t="s">
        <v>24</v>
      </c>
      <c r="E27" s="17">
        <v>1555.1</v>
      </c>
      <c r="F27" s="17">
        <v>1555.1</v>
      </c>
      <c r="G27" s="17"/>
      <c r="H27" s="17"/>
      <c r="I27" s="17"/>
      <c r="J27" s="17"/>
    </row>
    <row r="28" spans="1:10" ht="135" x14ac:dyDescent="0.2">
      <c r="A28" s="14" t="s">
        <v>40</v>
      </c>
      <c r="B28" s="12" t="s">
        <v>41</v>
      </c>
      <c r="C28" s="12"/>
      <c r="D28" s="12"/>
      <c r="E28" s="13"/>
      <c r="F28" s="13"/>
      <c r="G28" s="13">
        <v>70.736000000000004</v>
      </c>
      <c r="H28" s="13">
        <v>1255.7070000000001</v>
      </c>
      <c r="I28" s="13"/>
      <c r="J28" s="13"/>
    </row>
    <row r="29" spans="1:10" ht="123.75" x14ac:dyDescent="0.2">
      <c r="A29" s="18" t="s">
        <v>40</v>
      </c>
      <c r="B29" s="16" t="s">
        <v>42</v>
      </c>
      <c r="C29" s="16" t="s">
        <v>23</v>
      </c>
      <c r="D29" s="16" t="s">
        <v>24</v>
      </c>
      <c r="E29" s="17"/>
      <c r="F29" s="17"/>
      <c r="G29" s="17">
        <v>70.736000000000004</v>
      </c>
      <c r="H29" s="17">
        <v>1255.7070000000001</v>
      </c>
      <c r="I29" s="17"/>
      <c r="J29" s="17"/>
    </row>
    <row r="30" spans="1:10" ht="112.5" x14ac:dyDescent="0.2">
      <c r="A30" s="14" t="s">
        <v>43</v>
      </c>
      <c r="B30" s="12" t="s">
        <v>44</v>
      </c>
      <c r="C30" s="12"/>
      <c r="D30" s="12"/>
      <c r="E30" s="13"/>
      <c r="F30" s="13"/>
      <c r="G30" s="13">
        <v>0.23100000000000001</v>
      </c>
      <c r="H30" s="13">
        <v>38.536999999999999</v>
      </c>
      <c r="I30" s="13"/>
      <c r="J30" s="13"/>
    </row>
    <row r="31" spans="1:10" ht="101.25" x14ac:dyDescent="0.2">
      <c r="A31" s="18" t="s">
        <v>43</v>
      </c>
      <c r="B31" s="16" t="s">
        <v>45</v>
      </c>
      <c r="C31" s="16" t="s">
        <v>23</v>
      </c>
      <c r="D31" s="16" t="s">
        <v>24</v>
      </c>
      <c r="E31" s="17"/>
      <c r="F31" s="17"/>
      <c r="G31" s="17">
        <v>0.23100000000000001</v>
      </c>
      <c r="H31" s="17">
        <v>38.536999999999999</v>
      </c>
      <c r="I31" s="17"/>
      <c r="J31" s="17"/>
    </row>
    <row r="32" spans="1:10" ht="123.75" x14ac:dyDescent="0.2">
      <c r="A32" s="14" t="s">
        <v>46</v>
      </c>
      <c r="B32" s="12" t="s">
        <v>47</v>
      </c>
      <c r="C32" s="12"/>
      <c r="D32" s="12"/>
      <c r="E32" s="13"/>
      <c r="F32" s="13"/>
      <c r="G32" s="13"/>
      <c r="H32" s="13">
        <v>4.17</v>
      </c>
      <c r="I32" s="13"/>
      <c r="J32" s="13"/>
    </row>
    <row r="33" spans="1:12" ht="112.5" x14ac:dyDescent="0.2">
      <c r="A33" s="18" t="s">
        <v>46</v>
      </c>
      <c r="B33" s="16" t="s">
        <v>48</v>
      </c>
      <c r="C33" s="16" t="s">
        <v>23</v>
      </c>
      <c r="D33" s="16" t="s">
        <v>24</v>
      </c>
      <c r="E33" s="17"/>
      <c r="F33" s="17"/>
      <c r="G33" s="17"/>
      <c r="H33" s="17">
        <v>4.17</v>
      </c>
      <c r="I33" s="17"/>
      <c r="J33" s="17"/>
    </row>
    <row r="34" spans="1:12" ht="45" x14ac:dyDescent="0.2">
      <c r="A34" s="11" t="s">
        <v>50</v>
      </c>
      <c r="B34" s="12" t="s">
        <v>51</v>
      </c>
      <c r="C34" s="12"/>
      <c r="D34" s="12"/>
      <c r="E34" s="13">
        <v>2721.5</v>
      </c>
      <c r="F34" s="13">
        <v>2721.5</v>
      </c>
      <c r="G34" s="13">
        <v>122.613</v>
      </c>
      <c r="H34" s="13">
        <v>1029.0229999999999</v>
      </c>
      <c r="I34" s="13">
        <v>37.811</v>
      </c>
      <c r="J34" s="13">
        <v>37.811</v>
      </c>
    </row>
    <row r="35" spans="1:12" ht="33.75" x14ac:dyDescent="0.2">
      <c r="A35" s="15" t="s">
        <v>50</v>
      </c>
      <c r="B35" s="16" t="s">
        <v>52</v>
      </c>
      <c r="C35" s="16" t="s">
        <v>23</v>
      </c>
      <c r="D35" s="16" t="s">
        <v>24</v>
      </c>
      <c r="E35" s="17">
        <v>2721.5</v>
      </c>
      <c r="F35" s="17">
        <v>2721.5</v>
      </c>
      <c r="G35" s="17"/>
      <c r="H35" s="17"/>
      <c r="I35" s="17"/>
      <c r="J35" s="17"/>
    </row>
    <row r="36" spans="1:12" ht="67.5" x14ac:dyDescent="0.2">
      <c r="A36" s="11" t="s">
        <v>53</v>
      </c>
      <c r="B36" s="12" t="s">
        <v>54</v>
      </c>
      <c r="C36" s="12"/>
      <c r="D36" s="12"/>
      <c r="E36" s="13"/>
      <c r="F36" s="13"/>
      <c r="G36" s="13">
        <v>117.29</v>
      </c>
      <c r="H36" s="13">
        <v>993.41499999999996</v>
      </c>
      <c r="I36" s="13"/>
      <c r="J36" s="13"/>
    </row>
    <row r="37" spans="1:12" ht="67.5" x14ac:dyDescent="0.2">
      <c r="A37" s="15" t="s">
        <v>53</v>
      </c>
      <c r="B37" s="16" t="s">
        <v>55</v>
      </c>
      <c r="C37" s="16" t="s">
        <v>23</v>
      </c>
      <c r="D37" s="16" t="s">
        <v>24</v>
      </c>
      <c r="E37" s="17"/>
      <c r="F37" s="17"/>
      <c r="G37" s="17">
        <v>117.29</v>
      </c>
      <c r="H37" s="17">
        <v>993.41499999999996</v>
      </c>
      <c r="I37" s="17"/>
      <c r="J37" s="17"/>
    </row>
    <row r="38" spans="1:12" ht="45" x14ac:dyDescent="0.2">
      <c r="A38" s="11" t="s">
        <v>56</v>
      </c>
      <c r="B38" s="12" t="s">
        <v>57</v>
      </c>
      <c r="C38" s="12"/>
      <c r="D38" s="12"/>
      <c r="E38" s="13"/>
      <c r="F38" s="13"/>
      <c r="G38" s="13">
        <v>2.569</v>
      </c>
      <c r="H38" s="13">
        <v>12.614000000000001</v>
      </c>
      <c r="I38" s="13"/>
      <c r="J38" s="13"/>
    </row>
    <row r="39" spans="1:12" ht="45" x14ac:dyDescent="0.2">
      <c r="A39" s="15" t="s">
        <v>56</v>
      </c>
      <c r="B39" s="16" t="s">
        <v>58</v>
      </c>
      <c r="C39" s="16" t="s">
        <v>23</v>
      </c>
      <c r="D39" s="16" t="s">
        <v>24</v>
      </c>
      <c r="E39" s="17"/>
      <c r="F39" s="17"/>
      <c r="G39" s="17">
        <v>2.569</v>
      </c>
      <c r="H39" s="17">
        <v>12.614000000000001</v>
      </c>
      <c r="I39" s="17"/>
      <c r="J39" s="17"/>
    </row>
    <row r="40" spans="1:12" ht="67.5" x14ac:dyDescent="0.2">
      <c r="A40" s="11" t="s">
        <v>59</v>
      </c>
      <c r="B40" s="12" t="s">
        <v>60</v>
      </c>
      <c r="C40" s="12"/>
      <c r="D40" s="12"/>
      <c r="E40" s="13"/>
      <c r="F40" s="13"/>
      <c r="G40" s="13">
        <v>2.7519999999999998</v>
      </c>
      <c r="H40" s="13">
        <v>23.19</v>
      </c>
      <c r="I40" s="13"/>
      <c r="J40" s="13"/>
    </row>
    <row r="41" spans="1:12" ht="67.5" x14ac:dyDescent="0.2">
      <c r="A41" s="15" t="s">
        <v>59</v>
      </c>
      <c r="B41" s="16" t="s">
        <v>61</v>
      </c>
      <c r="C41" s="16" t="s">
        <v>23</v>
      </c>
      <c r="D41" s="16" t="s">
        <v>24</v>
      </c>
      <c r="E41" s="17"/>
      <c r="F41" s="17"/>
      <c r="G41" s="17">
        <v>2.7519999999999998</v>
      </c>
      <c r="H41" s="17">
        <v>23.19</v>
      </c>
      <c r="I41" s="17"/>
      <c r="J41" s="17"/>
    </row>
    <row r="42" spans="1:12" ht="45" x14ac:dyDescent="0.2">
      <c r="A42" s="11" t="s">
        <v>62</v>
      </c>
      <c r="B42" s="12" t="s">
        <v>63</v>
      </c>
      <c r="C42" s="12"/>
      <c r="D42" s="12"/>
      <c r="E42" s="13"/>
      <c r="F42" s="13"/>
      <c r="G42" s="13">
        <v>2E-3</v>
      </c>
      <c r="H42" s="13">
        <v>-0.19600000000000001</v>
      </c>
      <c r="I42" s="13"/>
      <c r="J42" s="13"/>
    </row>
    <row r="43" spans="1:12" ht="45" x14ac:dyDescent="0.2">
      <c r="A43" s="15" t="s">
        <v>62</v>
      </c>
      <c r="B43" s="16" t="s">
        <v>64</v>
      </c>
      <c r="C43" s="16" t="s">
        <v>23</v>
      </c>
      <c r="D43" s="16" t="s">
        <v>24</v>
      </c>
      <c r="E43" s="17"/>
      <c r="F43" s="17"/>
      <c r="G43" s="17">
        <v>2E-3</v>
      </c>
      <c r="H43" s="17">
        <v>-0.19600000000000001</v>
      </c>
      <c r="I43" s="17"/>
      <c r="J43" s="17"/>
    </row>
    <row r="44" spans="1:12" ht="78.75" x14ac:dyDescent="0.2">
      <c r="A44" s="14" t="s">
        <v>65</v>
      </c>
      <c r="B44" s="12" t="s">
        <v>66</v>
      </c>
      <c r="C44" s="12"/>
      <c r="D44" s="12"/>
      <c r="E44" s="13">
        <v>7311.5</v>
      </c>
      <c r="F44" s="13">
        <v>7311.5</v>
      </c>
      <c r="G44" s="13">
        <v>654.90599999999995</v>
      </c>
      <c r="H44" s="13">
        <v>7801.1459999999997</v>
      </c>
      <c r="I44" s="13">
        <v>106.697</v>
      </c>
      <c r="J44" s="13">
        <v>106.697</v>
      </c>
    </row>
    <row r="45" spans="1:12" ht="67.5" x14ac:dyDescent="0.2">
      <c r="A45" s="18" t="s">
        <v>65</v>
      </c>
      <c r="B45" s="16" t="s">
        <v>67</v>
      </c>
      <c r="C45" s="16" t="s">
        <v>23</v>
      </c>
      <c r="D45" s="16" t="s">
        <v>24</v>
      </c>
      <c r="E45" s="17">
        <v>7311.5</v>
      </c>
      <c r="F45" s="17">
        <v>7311.5</v>
      </c>
      <c r="G45" s="17"/>
      <c r="H45" s="17"/>
      <c r="I45" s="17"/>
      <c r="J45" s="17"/>
    </row>
    <row r="46" spans="1:12" ht="112.5" x14ac:dyDescent="0.2">
      <c r="A46" s="14" t="s">
        <v>68</v>
      </c>
      <c r="B46" s="12" t="s">
        <v>69</v>
      </c>
      <c r="C46" s="12"/>
      <c r="D46" s="12"/>
      <c r="E46" s="13"/>
      <c r="F46" s="13"/>
      <c r="G46" s="13">
        <v>654.90599999999995</v>
      </c>
      <c r="H46" s="13">
        <v>7801.1459999999997</v>
      </c>
      <c r="I46" s="13"/>
      <c r="J46" s="13"/>
    </row>
    <row r="47" spans="1:12" ht="101.25" x14ac:dyDescent="0.2">
      <c r="A47" s="18" t="s">
        <v>68</v>
      </c>
      <c r="B47" s="16" t="s">
        <v>70</v>
      </c>
      <c r="C47" s="16" t="s">
        <v>23</v>
      </c>
      <c r="D47" s="16" t="s">
        <v>24</v>
      </c>
      <c r="E47" s="17"/>
      <c r="F47" s="17"/>
      <c r="G47" s="17">
        <v>654.90599999999995</v>
      </c>
      <c r="H47" s="17">
        <v>7801.1459999999997</v>
      </c>
      <c r="I47" s="17"/>
      <c r="J47" s="17"/>
    </row>
    <row r="48" spans="1:12" ht="43.15" customHeight="1" x14ac:dyDescent="0.2">
      <c r="A48" s="25" t="s">
        <v>568</v>
      </c>
      <c r="B48" s="26" t="s">
        <v>569</v>
      </c>
      <c r="C48" s="26"/>
      <c r="D48" s="26"/>
      <c r="E48" s="19">
        <v>4845.4799999999996</v>
      </c>
      <c r="F48" s="19">
        <v>7641.027</v>
      </c>
      <c r="G48" s="27">
        <v>618.72299999999996</v>
      </c>
      <c r="H48" s="19">
        <v>7609.1549999999997</v>
      </c>
      <c r="I48" s="19">
        <v>157.036</v>
      </c>
      <c r="J48" s="19">
        <v>99.582999999999998</v>
      </c>
      <c r="K48" s="211"/>
      <c r="L48" s="20"/>
    </row>
    <row r="49" spans="1:12" ht="33.75" x14ac:dyDescent="0.2">
      <c r="A49" s="11" t="s">
        <v>369</v>
      </c>
      <c r="B49" s="12" t="s">
        <v>570</v>
      </c>
      <c r="C49" s="12"/>
      <c r="D49" s="12"/>
      <c r="E49" s="13">
        <v>4845.4799999999996</v>
      </c>
      <c r="F49" s="13">
        <v>7641.027</v>
      </c>
      <c r="G49" s="13">
        <v>618.72299999999996</v>
      </c>
      <c r="H49" s="13">
        <v>7609.1549999999997</v>
      </c>
      <c r="I49" s="13">
        <v>157.036</v>
      </c>
      <c r="J49" s="13">
        <v>99.582999999999998</v>
      </c>
    </row>
    <row r="50" spans="1:12" ht="67.5" x14ac:dyDescent="0.2">
      <c r="A50" s="11" t="s">
        <v>378</v>
      </c>
      <c r="B50" s="12" t="s">
        <v>571</v>
      </c>
      <c r="C50" s="12"/>
      <c r="D50" s="12"/>
      <c r="E50" s="13">
        <v>2107.7800000000002</v>
      </c>
      <c r="F50" s="13">
        <v>3490.078</v>
      </c>
      <c r="G50" s="13">
        <v>286.298</v>
      </c>
      <c r="H50" s="13">
        <v>3463.5590000000002</v>
      </c>
      <c r="I50" s="13">
        <v>164.32300000000001</v>
      </c>
      <c r="J50" s="13">
        <v>99.24</v>
      </c>
    </row>
    <row r="51" spans="1:12" ht="101.25" x14ac:dyDescent="0.2">
      <c r="A51" s="14" t="s">
        <v>700</v>
      </c>
      <c r="B51" s="12" t="s">
        <v>701</v>
      </c>
      <c r="C51" s="12"/>
      <c r="D51" s="12"/>
      <c r="E51" s="13">
        <v>2107.7800000000002</v>
      </c>
      <c r="F51" s="13">
        <v>3490.078</v>
      </c>
      <c r="G51" s="13">
        <v>286.298</v>
      </c>
      <c r="H51" s="13">
        <v>3463.5590000000002</v>
      </c>
      <c r="I51" s="13">
        <v>164.32300000000001</v>
      </c>
      <c r="J51" s="13">
        <v>99.24</v>
      </c>
    </row>
    <row r="52" spans="1:12" ht="101.25" x14ac:dyDescent="0.2">
      <c r="A52" s="18" t="s">
        <v>700</v>
      </c>
      <c r="B52" s="16" t="s">
        <v>702</v>
      </c>
      <c r="C52" s="16" t="s">
        <v>23</v>
      </c>
      <c r="D52" s="16" t="s">
        <v>24</v>
      </c>
      <c r="E52" s="17">
        <v>2107.7800000000002</v>
      </c>
      <c r="F52" s="17">
        <v>3490.078</v>
      </c>
      <c r="G52" s="17">
        <v>286.298</v>
      </c>
      <c r="H52" s="17">
        <v>3463.5590000000002</v>
      </c>
      <c r="I52" s="17">
        <v>164.32300000000001</v>
      </c>
      <c r="J52" s="17">
        <v>99.24</v>
      </c>
    </row>
    <row r="53" spans="1:12" ht="78.75" x14ac:dyDescent="0.2">
      <c r="A53" s="14" t="s">
        <v>377</v>
      </c>
      <c r="B53" s="12" t="s">
        <v>572</v>
      </c>
      <c r="C53" s="12"/>
      <c r="D53" s="12"/>
      <c r="E53" s="13">
        <v>19.399999999999999</v>
      </c>
      <c r="F53" s="13">
        <v>18.864000000000001</v>
      </c>
      <c r="G53" s="13">
        <v>2.0609999999999999</v>
      </c>
      <c r="H53" s="13">
        <v>25.457999999999998</v>
      </c>
      <c r="I53" s="13">
        <v>131.227</v>
      </c>
      <c r="J53" s="13">
        <v>134.96</v>
      </c>
    </row>
    <row r="54" spans="1:12" ht="112.5" x14ac:dyDescent="0.2">
      <c r="A54" s="14" t="s">
        <v>703</v>
      </c>
      <c r="B54" s="12" t="s">
        <v>704</v>
      </c>
      <c r="C54" s="12"/>
      <c r="D54" s="12"/>
      <c r="E54" s="13">
        <v>19.399999999999999</v>
      </c>
      <c r="F54" s="13">
        <v>18.864000000000001</v>
      </c>
      <c r="G54" s="13">
        <v>2.0609999999999999</v>
      </c>
      <c r="H54" s="13">
        <v>25.457999999999998</v>
      </c>
      <c r="I54" s="13">
        <v>131.227</v>
      </c>
      <c r="J54" s="13">
        <v>134.96</v>
      </c>
    </row>
    <row r="55" spans="1:12" ht="112.5" x14ac:dyDescent="0.2">
      <c r="A55" s="18" t="s">
        <v>703</v>
      </c>
      <c r="B55" s="16" t="s">
        <v>705</v>
      </c>
      <c r="C55" s="16" t="s">
        <v>23</v>
      </c>
      <c r="D55" s="16" t="s">
        <v>24</v>
      </c>
      <c r="E55" s="17">
        <v>19.399999999999999</v>
      </c>
      <c r="F55" s="17">
        <v>18.864000000000001</v>
      </c>
      <c r="G55" s="17">
        <v>2.0609999999999999</v>
      </c>
      <c r="H55" s="17">
        <v>25.457999999999998</v>
      </c>
      <c r="I55" s="17">
        <v>131.227</v>
      </c>
      <c r="J55" s="17">
        <v>134.96</v>
      </c>
    </row>
    <row r="56" spans="1:12" ht="67.5" x14ac:dyDescent="0.2">
      <c r="A56" s="11" t="s">
        <v>376</v>
      </c>
      <c r="B56" s="12" t="s">
        <v>573</v>
      </c>
      <c r="C56" s="12"/>
      <c r="D56" s="12"/>
      <c r="E56" s="13">
        <v>3188.3</v>
      </c>
      <c r="F56" s="13">
        <v>4674.9780000000001</v>
      </c>
      <c r="G56" s="13">
        <v>359.04500000000002</v>
      </c>
      <c r="H56" s="13">
        <v>4627.3270000000002</v>
      </c>
      <c r="I56" s="13">
        <v>145.13499999999999</v>
      </c>
      <c r="J56" s="13">
        <v>98.980999999999995</v>
      </c>
    </row>
    <row r="57" spans="1:12" ht="101.25" x14ac:dyDescent="0.2">
      <c r="A57" s="14" t="s">
        <v>706</v>
      </c>
      <c r="B57" s="12" t="s">
        <v>707</v>
      </c>
      <c r="C57" s="12"/>
      <c r="D57" s="12"/>
      <c r="E57" s="13">
        <v>3188.3</v>
      </c>
      <c r="F57" s="13">
        <v>4674.9780000000001</v>
      </c>
      <c r="G57" s="13">
        <v>359.04500000000002</v>
      </c>
      <c r="H57" s="13">
        <v>4627.3270000000002</v>
      </c>
      <c r="I57" s="13">
        <v>145.13499999999999</v>
      </c>
      <c r="J57" s="13">
        <v>98.980999999999995</v>
      </c>
    </row>
    <row r="58" spans="1:12" ht="101.25" x14ac:dyDescent="0.2">
      <c r="A58" s="18" t="s">
        <v>706</v>
      </c>
      <c r="B58" s="16" t="s">
        <v>708</v>
      </c>
      <c r="C58" s="16" t="s">
        <v>23</v>
      </c>
      <c r="D58" s="16" t="s">
        <v>24</v>
      </c>
      <c r="E58" s="17">
        <v>3188.3</v>
      </c>
      <c r="F58" s="17">
        <v>4674.9780000000001</v>
      </c>
      <c r="G58" s="17">
        <v>359.04500000000002</v>
      </c>
      <c r="H58" s="17">
        <v>4627.3270000000002</v>
      </c>
      <c r="I58" s="17">
        <v>145.13499999999999</v>
      </c>
      <c r="J58" s="17">
        <v>98.980999999999995</v>
      </c>
    </row>
    <row r="59" spans="1:12" ht="67.5" x14ac:dyDescent="0.2">
      <c r="A59" s="11" t="s">
        <v>375</v>
      </c>
      <c r="B59" s="12" t="s">
        <v>574</v>
      </c>
      <c r="C59" s="12"/>
      <c r="D59" s="12"/>
      <c r="E59" s="13">
        <v>-470</v>
      </c>
      <c r="F59" s="13">
        <v>-542.89200000000005</v>
      </c>
      <c r="G59" s="13">
        <v>-28.681000000000001</v>
      </c>
      <c r="H59" s="13">
        <v>-507.18900000000002</v>
      </c>
      <c r="I59" s="13">
        <v>107.913</v>
      </c>
      <c r="J59" s="13">
        <v>93.424000000000007</v>
      </c>
    </row>
    <row r="60" spans="1:12" ht="101.25" x14ac:dyDescent="0.2">
      <c r="A60" s="14" t="s">
        <v>709</v>
      </c>
      <c r="B60" s="12" t="s">
        <v>710</v>
      </c>
      <c r="C60" s="12"/>
      <c r="D60" s="12"/>
      <c r="E60" s="13">
        <v>-470</v>
      </c>
      <c r="F60" s="13">
        <v>-542.89200000000005</v>
      </c>
      <c r="G60" s="13">
        <v>-28.681000000000001</v>
      </c>
      <c r="H60" s="13">
        <v>-507.18900000000002</v>
      </c>
      <c r="I60" s="13">
        <v>107.913</v>
      </c>
      <c r="J60" s="13">
        <v>93.424000000000007</v>
      </c>
    </row>
    <row r="61" spans="1:12" ht="101.25" x14ac:dyDescent="0.2">
      <c r="A61" s="18" t="s">
        <v>709</v>
      </c>
      <c r="B61" s="16" t="s">
        <v>711</v>
      </c>
      <c r="C61" s="16" t="s">
        <v>23</v>
      </c>
      <c r="D61" s="16" t="s">
        <v>24</v>
      </c>
      <c r="E61" s="17">
        <v>-470</v>
      </c>
      <c r="F61" s="17">
        <v>-542.89200000000005</v>
      </c>
      <c r="G61" s="17">
        <v>-28.681000000000001</v>
      </c>
      <c r="H61" s="17">
        <v>-507.18900000000002</v>
      </c>
      <c r="I61" s="17">
        <v>107.913</v>
      </c>
      <c r="J61" s="17">
        <v>93.424000000000007</v>
      </c>
    </row>
    <row r="62" spans="1:12" ht="20.100000000000001" customHeight="1" x14ac:dyDescent="0.2">
      <c r="A62" s="25" t="s">
        <v>71</v>
      </c>
      <c r="B62" s="26" t="s">
        <v>72</v>
      </c>
      <c r="C62" s="26"/>
      <c r="D62" s="26"/>
      <c r="E62" s="19">
        <v>59514.8</v>
      </c>
      <c r="F62" s="19">
        <v>64108.76</v>
      </c>
      <c r="G62" s="27">
        <v>3198.27</v>
      </c>
      <c r="H62" s="19">
        <v>65028.974000000002</v>
      </c>
      <c r="I62" s="19">
        <v>109.265</v>
      </c>
      <c r="J62" s="19">
        <v>101.435</v>
      </c>
      <c r="K62" s="211"/>
      <c r="L62" s="20"/>
    </row>
    <row r="63" spans="1:12" s="212" customFormat="1" ht="22.5" x14ac:dyDescent="0.2">
      <c r="A63" s="28" t="s">
        <v>440</v>
      </c>
      <c r="B63" s="29" t="s">
        <v>441</v>
      </c>
      <c r="C63" s="29"/>
      <c r="D63" s="29"/>
      <c r="E63" s="22">
        <v>26234.7</v>
      </c>
      <c r="F63" s="22">
        <v>29776</v>
      </c>
      <c r="G63" s="22">
        <v>1922.893</v>
      </c>
      <c r="H63" s="22">
        <v>30012.326000000001</v>
      </c>
      <c r="I63" s="22">
        <v>114.399</v>
      </c>
      <c r="J63" s="22">
        <v>100.794</v>
      </c>
    </row>
    <row r="64" spans="1:12" ht="33.75" x14ac:dyDescent="0.2">
      <c r="A64" s="11" t="s">
        <v>379</v>
      </c>
      <c r="B64" s="12" t="s">
        <v>442</v>
      </c>
      <c r="C64" s="12"/>
      <c r="D64" s="12"/>
      <c r="E64" s="13">
        <v>14297.9</v>
      </c>
      <c r="F64" s="13">
        <v>16376.8</v>
      </c>
      <c r="G64" s="13">
        <v>1027.4849999999999</v>
      </c>
      <c r="H64" s="13">
        <v>18021.339</v>
      </c>
      <c r="I64" s="13">
        <v>126.042</v>
      </c>
      <c r="J64" s="13">
        <v>110.042</v>
      </c>
    </row>
    <row r="65" spans="1:10" ht="33.75" x14ac:dyDescent="0.2">
      <c r="A65" s="11" t="s">
        <v>379</v>
      </c>
      <c r="B65" s="12" t="s">
        <v>443</v>
      </c>
      <c r="C65" s="12"/>
      <c r="D65" s="12"/>
      <c r="E65" s="13">
        <v>14297.9</v>
      </c>
      <c r="F65" s="13">
        <v>16376.8</v>
      </c>
      <c r="G65" s="13">
        <v>1027.4849999999999</v>
      </c>
      <c r="H65" s="13">
        <v>18021.204000000002</v>
      </c>
      <c r="I65" s="13">
        <v>126.041</v>
      </c>
      <c r="J65" s="13">
        <v>110.041</v>
      </c>
    </row>
    <row r="66" spans="1:10" ht="22.5" x14ac:dyDescent="0.2">
      <c r="A66" s="15" t="s">
        <v>379</v>
      </c>
      <c r="B66" s="16" t="s">
        <v>575</v>
      </c>
      <c r="C66" s="16" t="s">
        <v>23</v>
      </c>
      <c r="D66" s="16" t="s">
        <v>24</v>
      </c>
      <c r="E66" s="17">
        <v>14297.9</v>
      </c>
      <c r="F66" s="17">
        <v>16376.8</v>
      </c>
      <c r="G66" s="17"/>
      <c r="H66" s="17"/>
      <c r="I66" s="17"/>
      <c r="J66" s="17"/>
    </row>
    <row r="67" spans="1:10" ht="56.25" x14ac:dyDescent="0.2">
      <c r="A67" s="11" t="s">
        <v>576</v>
      </c>
      <c r="B67" s="12" t="s">
        <v>444</v>
      </c>
      <c r="C67" s="12"/>
      <c r="D67" s="12"/>
      <c r="E67" s="13"/>
      <c r="F67" s="13"/>
      <c r="G67" s="13">
        <v>1019.495</v>
      </c>
      <c r="H67" s="13">
        <v>17726.256000000001</v>
      </c>
      <c r="I67" s="13"/>
      <c r="J67" s="13"/>
    </row>
    <row r="68" spans="1:10" ht="56.25" x14ac:dyDescent="0.2">
      <c r="A68" s="15" t="s">
        <v>576</v>
      </c>
      <c r="B68" s="16" t="s">
        <v>445</v>
      </c>
      <c r="C68" s="16" t="s">
        <v>23</v>
      </c>
      <c r="D68" s="16" t="s">
        <v>24</v>
      </c>
      <c r="E68" s="17"/>
      <c r="F68" s="17"/>
      <c r="G68" s="17">
        <v>1019.495</v>
      </c>
      <c r="H68" s="17">
        <v>17726.256000000001</v>
      </c>
      <c r="I68" s="17"/>
      <c r="J68" s="17"/>
    </row>
    <row r="69" spans="1:10" ht="33.75" x14ac:dyDescent="0.2">
      <c r="A69" s="11" t="s">
        <v>381</v>
      </c>
      <c r="B69" s="12" t="s">
        <v>446</v>
      </c>
      <c r="C69" s="12"/>
      <c r="D69" s="12"/>
      <c r="E69" s="13"/>
      <c r="F69" s="13"/>
      <c r="G69" s="13">
        <v>1.9910000000000001</v>
      </c>
      <c r="H69" s="13">
        <v>296.14800000000002</v>
      </c>
      <c r="I69" s="13"/>
      <c r="J69" s="13"/>
    </row>
    <row r="70" spans="1:10" ht="33.75" x14ac:dyDescent="0.2">
      <c r="A70" s="15" t="s">
        <v>381</v>
      </c>
      <c r="B70" s="16" t="s">
        <v>447</v>
      </c>
      <c r="C70" s="16" t="s">
        <v>23</v>
      </c>
      <c r="D70" s="16" t="s">
        <v>24</v>
      </c>
      <c r="E70" s="17"/>
      <c r="F70" s="17"/>
      <c r="G70" s="17">
        <v>1.9910000000000001</v>
      </c>
      <c r="H70" s="17">
        <v>296.14800000000002</v>
      </c>
      <c r="I70" s="17"/>
      <c r="J70" s="17"/>
    </row>
    <row r="71" spans="1:10" ht="56.25" x14ac:dyDescent="0.2">
      <c r="A71" s="11" t="s">
        <v>382</v>
      </c>
      <c r="B71" s="12" t="s">
        <v>448</v>
      </c>
      <c r="C71" s="12"/>
      <c r="D71" s="12"/>
      <c r="E71" s="13"/>
      <c r="F71" s="13"/>
      <c r="G71" s="13"/>
      <c r="H71" s="13">
        <v>4.3490000000000002</v>
      </c>
      <c r="I71" s="13"/>
      <c r="J71" s="13"/>
    </row>
    <row r="72" spans="1:10" ht="56.25" x14ac:dyDescent="0.2">
      <c r="A72" s="15" t="s">
        <v>382</v>
      </c>
      <c r="B72" s="16" t="s">
        <v>449</v>
      </c>
      <c r="C72" s="16" t="s">
        <v>23</v>
      </c>
      <c r="D72" s="16" t="s">
        <v>24</v>
      </c>
      <c r="E72" s="17"/>
      <c r="F72" s="17"/>
      <c r="G72" s="17"/>
      <c r="H72" s="17">
        <v>4.3490000000000002</v>
      </c>
      <c r="I72" s="17"/>
      <c r="J72" s="17"/>
    </row>
    <row r="73" spans="1:10" ht="33.75" x14ac:dyDescent="0.2">
      <c r="A73" s="11" t="s">
        <v>383</v>
      </c>
      <c r="B73" s="12" t="s">
        <v>450</v>
      </c>
      <c r="C73" s="12"/>
      <c r="D73" s="12"/>
      <c r="E73" s="13"/>
      <c r="F73" s="13"/>
      <c r="G73" s="13">
        <v>6</v>
      </c>
      <c r="H73" s="13">
        <v>-5.55</v>
      </c>
      <c r="I73" s="13"/>
      <c r="J73" s="13"/>
    </row>
    <row r="74" spans="1:10" ht="33.75" x14ac:dyDescent="0.2">
      <c r="A74" s="15" t="s">
        <v>383</v>
      </c>
      <c r="B74" s="16" t="s">
        <v>682</v>
      </c>
      <c r="C74" s="16" t="s">
        <v>23</v>
      </c>
      <c r="D74" s="16" t="s">
        <v>24</v>
      </c>
      <c r="E74" s="17"/>
      <c r="F74" s="17"/>
      <c r="G74" s="17">
        <v>6</v>
      </c>
      <c r="H74" s="17">
        <v>-5.55</v>
      </c>
      <c r="I74" s="17"/>
      <c r="J74" s="17"/>
    </row>
    <row r="75" spans="1:10" ht="45" x14ac:dyDescent="0.2">
      <c r="A75" s="11" t="s">
        <v>387</v>
      </c>
      <c r="B75" s="12" t="s">
        <v>712</v>
      </c>
      <c r="C75" s="12"/>
      <c r="D75" s="12"/>
      <c r="E75" s="13"/>
      <c r="F75" s="13"/>
      <c r="G75" s="13"/>
      <c r="H75" s="13">
        <v>0.13500000000000001</v>
      </c>
      <c r="I75" s="13"/>
      <c r="J75" s="13"/>
    </row>
    <row r="76" spans="1:10" ht="67.5" x14ac:dyDescent="0.2">
      <c r="A76" s="14" t="s">
        <v>386</v>
      </c>
      <c r="B76" s="12" t="s">
        <v>713</v>
      </c>
      <c r="C76" s="12"/>
      <c r="D76" s="12"/>
      <c r="E76" s="13"/>
      <c r="F76" s="13"/>
      <c r="G76" s="13"/>
      <c r="H76" s="13">
        <v>0.13500000000000001</v>
      </c>
      <c r="I76" s="13"/>
      <c r="J76" s="13"/>
    </row>
    <row r="77" spans="1:10" ht="67.5" x14ac:dyDescent="0.2">
      <c r="A77" s="18" t="s">
        <v>386</v>
      </c>
      <c r="B77" s="16" t="s">
        <v>714</v>
      </c>
      <c r="C77" s="16" t="s">
        <v>23</v>
      </c>
      <c r="D77" s="16" t="s">
        <v>24</v>
      </c>
      <c r="E77" s="17"/>
      <c r="F77" s="17"/>
      <c r="G77" s="17"/>
      <c r="H77" s="17">
        <v>0.13500000000000001</v>
      </c>
      <c r="I77" s="17"/>
      <c r="J77" s="17"/>
    </row>
    <row r="78" spans="1:10" ht="33.75" x14ac:dyDescent="0.2">
      <c r="A78" s="11" t="s">
        <v>388</v>
      </c>
      <c r="B78" s="12" t="s">
        <v>451</v>
      </c>
      <c r="C78" s="12"/>
      <c r="D78" s="12"/>
      <c r="E78" s="13">
        <v>11936.8</v>
      </c>
      <c r="F78" s="13">
        <v>13399.2</v>
      </c>
      <c r="G78" s="13">
        <v>895.40800000000002</v>
      </c>
      <c r="H78" s="13">
        <v>11994.012000000001</v>
      </c>
      <c r="I78" s="13">
        <v>100.479</v>
      </c>
      <c r="J78" s="13">
        <v>89.513000000000005</v>
      </c>
    </row>
    <row r="79" spans="1:10" ht="56.25" x14ac:dyDescent="0.2">
      <c r="A79" s="11" t="s">
        <v>389</v>
      </c>
      <c r="B79" s="12" t="s">
        <v>452</v>
      </c>
      <c r="C79" s="12"/>
      <c r="D79" s="12"/>
      <c r="E79" s="13">
        <v>11936.8</v>
      </c>
      <c r="F79" s="13">
        <v>13399.2</v>
      </c>
      <c r="G79" s="13">
        <v>895.40800000000002</v>
      </c>
      <c r="H79" s="13">
        <v>11994.012000000001</v>
      </c>
      <c r="I79" s="13">
        <v>100.479</v>
      </c>
      <c r="J79" s="13">
        <v>89.513000000000005</v>
      </c>
    </row>
    <row r="80" spans="1:10" ht="56.25" x14ac:dyDescent="0.2">
      <c r="A80" s="15" t="s">
        <v>389</v>
      </c>
      <c r="B80" s="16" t="s">
        <v>577</v>
      </c>
      <c r="C80" s="16" t="s">
        <v>23</v>
      </c>
      <c r="D80" s="16" t="s">
        <v>24</v>
      </c>
      <c r="E80" s="17">
        <v>11936.8</v>
      </c>
      <c r="F80" s="17">
        <v>13399.2</v>
      </c>
      <c r="G80" s="17"/>
      <c r="H80" s="17"/>
      <c r="I80" s="17"/>
      <c r="J80" s="17"/>
    </row>
    <row r="81" spans="1:10" ht="90" x14ac:dyDescent="0.2">
      <c r="A81" s="14" t="s">
        <v>715</v>
      </c>
      <c r="B81" s="12" t="s">
        <v>453</v>
      </c>
      <c r="C81" s="12"/>
      <c r="D81" s="12"/>
      <c r="E81" s="13"/>
      <c r="F81" s="13"/>
      <c r="G81" s="13">
        <v>895.32399999999996</v>
      </c>
      <c r="H81" s="13">
        <v>11246.725</v>
      </c>
      <c r="I81" s="13"/>
      <c r="J81" s="13"/>
    </row>
    <row r="82" spans="1:10" ht="78.75" x14ac:dyDescent="0.2">
      <c r="A82" s="18" t="s">
        <v>715</v>
      </c>
      <c r="B82" s="16" t="s">
        <v>454</v>
      </c>
      <c r="C82" s="16" t="s">
        <v>23</v>
      </c>
      <c r="D82" s="16" t="s">
        <v>24</v>
      </c>
      <c r="E82" s="17"/>
      <c r="F82" s="17"/>
      <c r="G82" s="17">
        <v>895.32399999999996</v>
      </c>
      <c r="H82" s="17">
        <v>11246.725</v>
      </c>
      <c r="I82" s="17"/>
      <c r="J82" s="17"/>
    </row>
    <row r="83" spans="1:10" ht="67.5" x14ac:dyDescent="0.2">
      <c r="A83" s="11" t="s">
        <v>716</v>
      </c>
      <c r="B83" s="12" t="s">
        <v>455</v>
      </c>
      <c r="C83" s="12"/>
      <c r="D83" s="12"/>
      <c r="E83" s="13"/>
      <c r="F83" s="13"/>
      <c r="G83" s="13">
        <v>8.4000000000000005E-2</v>
      </c>
      <c r="H83" s="13">
        <v>715.62599999999998</v>
      </c>
      <c r="I83" s="13"/>
      <c r="J83" s="13"/>
    </row>
    <row r="84" spans="1:10" ht="67.5" x14ac:dyDescent="0.2">
      <c r="A84" s="15" t="s">
        <v>716</v>
      </c>
      <c r="B84" s="16" t="s">
        <v>456</v>
      </c>
      <c r="C84" s="16" t="s">
        <v>23</v>
      </c>
      <c r="D84" s="16" t="s">
        <v>24</v>
      </c>
      <c r="E84" s="17"/>
      <c r="F84" s="17"/>
      <c r="G84" s="17">
        <v>8.4000000000000005E-2</v>
      </c>
      <c r="H84" s="17">
        <v>715.62599999999998</v>
      </c>
      <c r="I84" s="17"/>
      <c r="J84" s="17"/>
    </row>
    <row r="85" spans="1:10" ht="90" x14ac:dyDescent="0.2">
      <c r="A85" s="14" t="s">
        <v>717</v>
      </c>
      <c r="B85" s="12" t="s">
        <v>457</v>
      </c>
      <c r="C85" s="12"/>
      <c r="D85" s="12"/>
      <c r="E85" s="13"/>
      <c r="F85" s="13"/>
      <c r="G85" s="13"/>
      <c r="H85" s="13">
        <v>43.997</v>
      </c>
      <c r="I85" s="13"/>
      <c r="J85" s="13"/>
    </row>
    <row r="86" spans="1:10" ht="78.75" x14ac:dyDescent="0.2">
      <c r="A86" s="18" t="s">
        <v>717</v>
      </c>
      <c r="B86" s="16" t="s">
        <v>458</v>
      </c>
      <c r="C86" s="16" t="s">
        <v>23</v>
      </c>
      <c r="D86" s="16" t="s">
        <v>24</v>
      </c>
      <c r="E86" s="17"/>
      <c r="F86" s="17"/>
      <c r="G86" s="17"/>
      <c r="H86" s="17">
        <v>43.997</v>
      </c>
      <c r="I86" s="17"/>
      <c r="J86" s="17"/>
    </row>
    <row r="87" spans="1:10" ht="67.5" x14ac:dyDescent="0.2">
      <c r="A87" s="11" t="s">
        <v>718</v>
      </c>
      <c r="B87" s="12" t="s">
        <v>459</v>
      </c>
      <c r="C87" s="12"/>
      <c r="D87" s="12"/>
      <c r="E87" s="13"/>
      <c r="F87" s="13"/>
      <c r="G87" s="13"/>
      <c r="H87" s="13">
        <v>-12.336</v>
      </c>
      <c r="I87" s="13"/>
      <c r="J87" s="13"/>
    </row>
    <row r="88" spans="1:10" ht="56.25" x14ac:dyDescent="0.2">
      <c r="A88" s="15" t="s">
        <v>718</v>
      </c>
      <c r="B88" s="16" t="s">
        <v>460</v>
      </c>
      <c r="C88" s="16" t="s">
        <v>23</v>
      </c>
      <c r="D88" s="16" t="s">
        <v>24</v>
      </c>
      <c r="E88" s="17"/>
      <c r="F88" s="17"/>
      <c r="G88" s="17"/>
      <c r="H88" s="17">
        <v>-12.336</v>
      </c>
      <c r="I88" s="17"/>
      <c r="J88" s="17"/>
    </row>
    <row r="89" spans="1:10" ht="33.75" x14ac:dyDescent="0.2">
      <c r="A89" s="11" t="s">
        <v>395</v>
      </c>
      <c r="B89" s="12" t="s">
        <v>683</v>
      </c>
      <c r="C89" s="12"/>
      <c r="D89" s="12"/>
      <c r="E89" s="13"/>
      <c r="F89" s="13"/>
      <c r="G89" s="13"/>
      <c r="H89" s="13">
        <v>-3.0249999999999999</v>
      </c>
      <c r="I89" s="13"/>
      <c r="J89" s="13"/>
    </row>
    <row r="90" spans="1:10" ht="67.5" x14ac:dyDescent="0.2">
      <c r="A90" s="11" t="s">
        <v>719</v>
      </c>
      <c r="B90" s="12" t="s">
        <v>461</v>
      </c>
      <c r="C90" s="12"/>
      <c r="D90" s="12"/>
      <c r="E90" s="13"/>
      <c r="F90" s="13"/>
      <c r="G90" s="13"/>
      <c r="H90" s="13">
        <v>-14.603999999999999</v>
      </c>
      <c r="I90" s="13"/>
      <c r="J90" s="13"/>
    </row>
    <row r="91" spans="1:10" ht="56.25" x14ac:dyDescent="0.2">
      <c r="A91" s="15" t="s">
        <v>719</v>
      </c>
      <c r="B91" s="16" t="s">
        <v>462</v>
      </c>
      <c r="C91" s="16" t="s">
        <v>23</v>
      </c>
      <c r="D91" s="16" t="s">
        <v>24</v>
      </c>
      <c r="E91" s="17"/>
      <c r="F91" s="17"/>
      <c r="G91" s="17"/>
      <c r="H91" s="17">
        <v>-14.603999999999999</v>
      </c>
      <c r="I91" s="17"/>
      <c r="J91" s="17"/>
    </row>
    <row r="92" spans="1:10" ht="45" x14ac:dyDescent="0.2">
      <c r="A92" s="11" t="s">
        <v>720</v>
      </c>
      <c r="B92" s="12" t="s">
        <v>463</v>
      </c>
      <c r="C92" s="12"/>
      <c r="D92" s="12"/>
      <c r="E92" s="13"/>
      <c r="F92" s="13"/>
      <c r="G92" s="13"/>
      <c r="H92" s="13">
        <v>11.579000000000001</v>
      </c>
      <c r="I92" s="13"/>
      <c r="J92" s="13"/>
    </row>
    <row r="93" spans="1:10" ht="45" x14ac:dyDescent="0.2">
      <c r="A93" s="15" t="s">
        <v>720</v>
      </c>
      <c r="B93" s="16" t="s">
        <v>464</v>
      </c>
      <c r="C93" s="16" t="s">
        <v>23</v>
      </c>
      <c r="D93" s="16" t="s">
        <v>24</v>
      </c>
      <c r="E93" s="17"/>
      <c r="F93" s="17"/>
      <c r="G93" s="17"/>
      <c r="H93" s="17">
        <v>11.579000000000001</v>
      </c>
      <c r="I93" s="17"/>
      <c r="J93" s="17"/>
    </row>
    <row r="94" spans="1:10" s="212" customFormat="1" ht="25.9" customHeight="1" x14ac:dyDescent="0.2">
      <c r="A94" s="28" t="s">
        <v>73</v>
      </c>
      <c r="B94" s="29" t="s">
        <v>74</v>
      </c>
      <c r="C94" s="29"/>
      <c r="D94" s="29"/>
      <c r="E94" s="22">
        <v>32934.199999999997</v>
      </c>
      <c r="F94" s="22">
        <v>32490</v>
      </c>
      <c r="G94" s="22">
        <v>1201.2560000000001</v>
      </c>
      <c r="H94" s="22">
        <v>33221.686000000002</v>
      </c>
      <c r="I94" s="22">
        <v>100.873</v>
      </c>
      <c r="J94" s="22">
        <v>102.252</v>
      </c>
    </row>
    <row r="95" spans="1:10" ht="22.5" x14ac:dyDescent="0.2">
      <c r="A95" s="11" t="s">
        <v>73</v>
      </c>
      <c r="B95" s="12" t="s">
        <v>75</v>
      </c>
      <c r="C95" s="12"/>
      <c r="D95" s="12"/>
      <c r="E95" s="13">
        <v>32934.199999999997</v>
      </c>
      <c r="F95" s="13">
        <v>32490</v>
      </c>
      <c r="G95" s="13">
        <v>1199.9749999999999</v>
      </c>
      <c r="H95" s="13">
        <v>33219.421999999999</v>
      </c>
      <c r="I95" s="13">
        <v>100.866</v>
      </c>
      <c r="J95" s="13">
        <v>102.245</v>
      </c>
    </row>
    <row r="96" spans="1:10" ht="22.5" x14ac:dyDescent="0.2">
      <c r="A96" s="15" t="s">
        <v>73</v>
      </c>
      <c r="B96" s="16" t="s">
        <v>721</v>
      </c>
      <c r="C96" s="16" t="s">
        <v>23</v>
      </c>
      <c r="D96" s="16" t="s">
        <v>24</v>
      </c>
      <c r="E96" s="17">
        <v>32934.199999999997</v>
      </c>
      <c r="F96" s="17">
        <v>32490</v>
      </c>
      <c r="G96" s="17"/>
      <c r="H96" s="17"/>
      <c r="I96" s="17"/>
      <c r="J96" s="17"/>
    </row>
    <row r="97" spans="1:10" ht="45" x14ac:dyDescent="0.2">
      <c r="A97" s="11" t="s">
        <v>76</v>
      </c>
      <c r="B97" s="12" t="s">
        <v>77</v>
      </c>
      <c r="C97" s="12"/>
      <c r="D97" s="12"/>
      <c r="E97" s="13"/>
      <c r="F97" s="13"/>
      <c r="G97" s="13">
        <v>1179.5250000000001</v>
      </c>
      <c r="H97" s="13">
        <v>32750.557000000001</v>
      </c>
      <c r="I97" s="13"/>
      <c r="J97" s="13"/>
    </row>
    <row r="98" spans="1:10" ht="45" x14ac:dyDescent="0.2">
      <c r="A98" s="15" t="s">
        <v>76</v>
      </c>
      <c r="B98" s="16" t="s">
        <v>78</v>
      </c>
      <c r="C98" s="16" t="s">
        <v>23</v>
      </c>
      <c r="D98" s="16" t="s">
        <v>24</v>
      </c>
      <c r="E98" s="17"/>
      <c r="F98" s="17"/>
      <c r="G98" s="17">
        <v>1179.5250000000001</v>
      </c>
      <c r="H98" s="17">
        <v>32750.557000000001</v>
      </c>
      <c r="I98" s="17"/>
      <c r="J98" s="17"/>
    </row>
    <row r="99" spans="1:10" ht="33.75" x14ac:dyDescent="0.2">
      <c r="A99" s="11" t="s">
        <v>79</v>
      </c>
      <c r="B99" s="12" t="s">
        <v>80</v>
      </c>
      <c r="C99" s="12"/>
      <c r="D99" s="12"/>
      <c r="E99" s="13"/>
      <c r="F99" s="13"/>
      <c r="G99" s="13">
        <v>12.58</v>
      </c>
      <c r="H99" s="13">
        <v>385.92399999999998</v>
      </c>
      <c r="I99" s="13"/>
      <c r="J99" s="13"/>
    </row>
    <row r="100" spans="1:10" ht="22.5" x14ac:dyDescent="0.2">
      <c r="A100" s="15" t="s">
        <v>79</v>
      </c>
      <c r="B100" s="16" t="s">
        <v>81</v>
      </c>
      <c r="C100" s="16" t="s">
        <v>23</v>
      </c>
      <c r="D100" s="16" t="s">
        <v>24</v>
      </c>
      <c r="E100" s="17"/>
      <c r="F100" s="17"/>
      <c r="G100" s="17">
        <v>12.58</v>
      </c>
      <c r="H100" s="17">
        <v>385.92399999999998</v>
      </c>
      <c r="I100" s="17"/>
      <c r="J100" s="17"/>
    </row>
    <row r="101" spans="1:10" ht="45" x14ac:dyDescent="0.2">
      <c r="A101" s="11" t="s">
        <v>82</v>
      </c>
      <c r="B101" s="12" t="s">
        <v>83</v>
      </c>
      <c r="C101" s="12"/>
      <c r="D101" s="12"/>
      <c r="E101" s="13"/>
      <c r="F101" s="13"/>
      <c r="G101" s="13">
        <v>7.8710000000000004</v>
      </c>
      <c r="H101" s="13">
        <v>84.811999999999998</v>
      </c>
      <c r="I101" s="13"/>
      <c r="J101" s="13"/>
    </row>
    <row r="102" spans="1:10" ht="45" x14ac:dyDescent="0.2">
      <c r="A102" s="15" t="s">
        <v>82</v>
      </c>
      <c r="B102" s="16" t="s">
        <v>84</v>
      </c>
      <c r="C102" s="16" t="s">
        <v>23</v>
      </c>
      <c r="D102" s="16" t="s">
        <v>24</v>
      </c>
      <c r="E102" s="17"/>
      <c r="F102" s="17"/>
      <c r="G102" s="17">
        <v>7.8710000000000004</v>
      </c>
      <c r="H102" s="17">
        <v>84.811999999999998</v>
      </c>
      <c r="I102" s="17"/>
      <c r="J102" s="17"/>
    </row>
    <row r="103" spans="1:10" ht="22.5" x14ac:dyDescent="0.2">
      <c r="A103" s="11" t="s">
        <v>85</v>
      </c>
      <c r="B103" s="12" t="s">
        <v>86</v>
      </c>
      <c r="C103" s="12"/>
      <c r="D103" s="12"/>
      <c r="E103" s="13"/>
      <c r="F103" s="13"/>
      <c r="G103" s="13"/>
      <c r="H103" s="13">
        <v>-1.87</v>
      </c>
      <c r="I103" s="13"/>
      <c r="J103" s="13"/>
    </row>
    <row r="104" spans="1:10" ht="22.5" x14ac:dyDescent="0.2">
      <c r="A104" s="15" t="s">
        <v>85</v>
      </c>
      <c r="B104" s="16" t="s">
        <v>87</v>
      </c>
      <c r="C104" s="16" t="s">
        <v>23</v>
      </c>
      <c r="D104" s="16" t="s">
        <v>24</v>
      </c>
      <c r="E104" s="17"/>
      <c r="F104" s="17"/>
      <c r="G104" s="17"/>
      <c r="H104" s="17">
        <v>-1.87</v>
      </c>
      <c r="I104" s="17"/>
      <c r="J104" s="17"/>
    </row>
    <row r="105" spans="1:10" ht="33.75" x14ac:dyDescent="0.2">
      <c r="A105" s="11" t="s">
        <v>88</v>
      </c>
      <c r="B105" s="12" t="s">
        <v>89</v>
      </c>
      <c r="C105" s="12"/>
      <c r="D105" s="12"/>
      <c r="E105" s="13"/>
      <c r="F105" s="13"/>
      <c r="G105" s="13">
        <v>1.2809999999999999</v>
      </c>
      <c r="H105" s="13">
        <v>2.2639999999999998</v>
      </c>
      <c r="I105" s="13"/>
      <c r="J105" s="13"/>
    </row>
    <row r="106" spans="1:10" ht="67.5" x14ac:dyDescent="0.2">
      <c r="A106" s="11" t="s">
        <v>90</v>
      </c>
      <c r="B106" s="12" t="s">
        <v>91</v>
      </c>
      <c r="C106" s="12"/>
      <c r="D106" s="12"/>
      <c r="E106" s="13"/>
      <c r="F106" s="13"/>
      <c r="G106" s="13">
        <v>0.33</v>
      </c>
      <c r="H106" s="13">
        <v>0.33</v>
      </c>
      <c r="I106" s="13"/>
      <c r="J106" s="13"/>
    </row>
    <row r="107" spans="1:10" ht="56.25" x14ac:dyDescent="0.2">
      <c r="A107" s="15" t="s">
        <v>90</v>
      </c>
      <c r="B107" s="16" t="s">
        <v>92</v>
      </c>
      <c r="C107" s="16" t="s">
        <v>23</v>
      </c>
      <c r="D107" s="16" t="s">
        <v>24</v>
      </c>
      <c r="E107" s="17"/>
      <c r="F107" s="17"/>
      <c r="G107" s="17">
        <v>0.33</v>
      </c>
      <c r="H107" s="17">
        <v>0.33</v>
      </c>
      <c r="I107" s="17"/>
      <c r="J107" s="17"/>
    </row>
    <row r="108" spans="1:10" ht="45" x14ac:dyDescent="0.2">
      <c r="A108" s="11" t="s">
        <v>93</v>
      </c>
      <c r="B108" s="12" t="s">
        <v>94</v>
      </c>
      <c r="C108" s="12"/>
      <c r="D108" s="12"/>
      <c r="E108" s="13"/>
      <c r="F108" s="13"/>
      <c r="G108" s="13">
        <v>0.86</v>
      </c>
      <c r="H108" s="13">
        <v>1.843</v>
      </c>
      <c r="I108" s="13"/>
      <c r="J108" s="13"/>
    </row>
    <row r="109" spans="1:10" ht="33.75" x14ac:dyDescent="0.2">
      <c r="A109" s="15" t="s">
        <v>93</v>
      </c>
      <c r="B109" s="16" t="s">
        <v>95</v>
      </c>
      <c r="C109" s="16" t="s">
        <v>23</v>
      </c>
      <c r="D109" s="16" t="s">
        <v>24</v>
      </c>
      <c r="E109" s="17"/>
      <c r="F109" s="17"/>
      <c r="G109" s="17">
        <v>0.86</v>
      </c>
      <c r="H109" s="17">
        <v>1.843</v>
      </c>
      <c r="I109" s="17"/>
      <c r="J109" s="17"/>
    </row>
    <row r="110" spans="1:10" ht="56.25" x14ac:dyDescent="0.2">
      <c r="A110" s="11" t="s">
        <v>1031</v>
      </c>
      <c r="B110" s="12" t="s">
        <v>1032</v>
      </c>
      <c r="C110" s="12"/>
      <c r="D110" s="12"/>
      <c r="E110" s="13"/>
      <c r="F110" s="13"/>
      <c r="G110" s="13">
        <v>9.0999999999999998E-2</v>
      </c>
      <c r="H110" s="13">
        <v>9.0999999999999998E-2</v>
      </c>
      <c r="I110" s="13"/>
      <c r="J110" s="13"/>
    </row>
    <row r="111" spans="1:10" ht="56.25" x14ac:dyDescent="0.2">
      <c r="A111" s="15" t="s">
        <v>1031</v>
      </c>
      <c r="B111" s="16" t="s">
        <v>1033</v>
      </c>
      <c r="C111" s="16" t="s">
        <v>23</v>
      </c>
      <c r="D111" s="16" t="s">
        <v>24</v>
      </c>
      <c r="E111" s="17"/>
      <c r="F111" s="17"/>
      <c r="G111" s="17">
        <v>9.0999999999999998E-2</v>
      </c>
      <c r="H111" s="17">
        <v>9.0999999999999998E-2</v>
      </c>
      <c r="I111" s="17"/>
      <c r="J111" s="17"/>
    </row>
    <row r="112" spans="1:10" s="212" customFormat="1" ht="25.9" customHeight="1" x14ac:dyDescent="0.2">
      <c r="A112" s="28" t="s">
        <v>96</v>
      </c>
      <c r="B112" s="29" t="s">
        <v>97</v>
      </c>
      <c r="C112" s="29"/>
      <c r="D112" s="29"/>
      <c r="E112" s="22">
        <v>282.89999999999998</v>
      </c>
      <c r="F112" s="22">
        <v>1712.3</v>
      </c>
      <c r="G112" s="22"/>
      <c r="H112" s="22">
        <v>1658.3820000000001</v>
      </c>
      <c r="I112" s="22">
        <v>586.20799999999997</v>
      </c>
      <c r="J112" s="22">
        <v>96.850999999999999</v>
      </c>
    </row>
    <row r="113" spans="1:12" ht="22.5" x14ac:dyDescent="0.2">
      <c r="A113" s="11" t="s">
        <v>96</v>
      </c>
      <c r="B113" s="12" t="s">
        <v>98</v>
      </c>
      <c r="C113" s="12"/>
      <c r="D113" s="12"/>
      <c r="E113" s="13">
        <v>282.89999999999998</v>
      </c>
      <c r="F113" s="13">
        <v>1712.3</v>
      </c>
      <c r="G113" s="13"/>
      <c r="H113" s="13">
        <v>1658.3820000000001</v>
      </c>
      <c r="I113" s="13">
        <v>586.20799999999997</v>
      </c>
      <c r="J113" s="13">
        <v>96.850999999999999</v>
      </c>
    </row>
    <row r="114" spans="1:12" ht="22.5" x14ac:dyDescent="0.2">
      <c r="A114" s="15" t="s">
        <v>96</v>
      </c>
      <c r="B114" s="16" t="s">
        <v>99</v>
      </c>
      <c r="C114" s="16" t="s">
        <v>23</v>
      </c>
      <c r="D114" s="16" t="s">
        <v>24</v>
      </c>
      <c r="E114" s="17">
        <v>282.89999999999998</v>
      </c>
      <c r="F114" s="17">
        <v>1712.3</v>
      </c>
      <c r="G114" s="17"/>
      <c r="H114" s="17"/>
      <c r="I114" s="17"/>
      <c r="J114" s="17"/>
    </row>
    <row r="115" spans="1:12" ht="45" x14ac:dyDescent="0.2">
      <c r="A115" s="11" t="s">
        <v>100</v>
      </c>
      <c r="B115" s="12" t="s">
        <v>101</v>
      </c>
      <c r="C115" s="12"/>
      <c r="D115" s="12"/>
      <c r="E115" s="13"/>
      <c r="F115" s="13"/>
      <c r="G115" s="13"/>
      <c r="H115" s="13">
        <v>1648.162</v>
      </c>
      <c r="I115" s="13"/>
      <c r="J115" s="13"/>
    </row>
    <row r="116" spans="1:12" ht="45" x14ac:dyDescent="0.2">
      <c r="A116" s="15" t="s">
        <v>100</v>
      </c>
      <c r="B116" s="16" t="s">
        <v>102</v>
      </c>
      <c r="C116" s="16" t="s">
        <v>23</v>
      </c>
      <c r="D116" s="16" t="s">
        <v>24</v>
      </c>
      <c r="E116" s="17"/>
      <c r="F116" s="17"/>
      <c r="G116" s="17"/>
      <c r="H116" s="17">
        <v>1648.162</v>
      </c>
      <c r="I116" s="17"/>
      <c r="J116" s="17"/>
    </row>
    <row r="117" spans="1:12" ht="22.5" x14ac:dyDescent="0.2">
      <c r="A117" s="11" t="s">
        <v>103</v>
      </c>
      <c r="B117" s="12" t="s">
        <v>104</v>
      </c>
      <c r="C117" s="12"/>
      <c r="D117" s="12"/>
      <c r="E117" s="13"/>
      <c r="F117" s="13"/>
      <c r="G117" s="13"/>
      <c r="H117" s="13">
        <v>9.6329999999999991</v>
      </c>
      <c r="I117" s="13"/>
      <c r="J117" s="13"/>
    </row>
    <row r="118" spans="1:12" ht="22.5" x14ac:dyDescent="0.2">
      <c r="A118" s="15" t="s">
        <v>103</v>
      </c>
      <c r="B118" s="16" t="s">
        <v>105</v>
      </c>
      <c r="C118" s="16" t="s">
        <v>23</v>
      </c>
      <c r="D118" s="16" t="s">
        <v>24</v>
      </c>
      <c r="E118" s="17"/>
      <c r="F118" s="17"/>
      <c r="G118" s="17"/>
      <c r="H118" s="17">
        <v>9.6329999999999991</v>
      </c>
      <c r="I118" s="17"/>
      <c r="J118" s="17"/>
    </row>
    <row r="119" spans="1:12" ht="45" x14ac:dyDescent="0.2">
      <c r="A119" s="11" t="s">
        <v>106</v>
      </c>
      <c r="B119" s="12" t="s">
        <v>107</v>
      </c>
      <c r="C119" s="12"/>
      <c r="D119" s="12"/>
      <c r="E119" s="13"/>
      <c r="F119" s="13"/>
      <c r="G119" s="13"/>
      <c r="H119" s="13">
        <v>0.58699999999999997</v>
      </c>
      <c r="I119" s="13"/>
      <c r="J119" s="13"/>
    </row>
    <row r="120" spans="1:12" ht="33.75" x14ac:dyDescent="0.2">
      <c r="A120" s="15" t="s">
        <v>106</v>
      </c>
      <c r="B120" s="16" t="s">
        <v>108</v>
      </c>
      <c r="C120" s="16" t="s">
        <v>23</v>
      </c>
      <c r="D120" s="16" t="s">
        <v>24</v>
      </c>
      <c r="E120" s="17"/>
      <c r="F120" s="17"/>
      <c r="G120" s="17"/>
      <c r="H120" s="17">
        <v>0.58699999999999997</v>
      </c>
      <c r="I120" s="17"/>
      <c r="J120" s="17"/>
    </row>
    <row r="121" spans="1:12" s="212" customFormat="1" ht="25.9" customHeight="1" x14ac:dyDescent="0.2">
      <c r="A121" s="28" t="s">
        <v>111</v>
      </c>
      <c r="B121" s="29" t="s">
        <v>112</v>
      </c>
      <c r="C121" s="29"/>
      <c r="D121" s="29"/>
      <c r="E121" s="22">
        <v>63</v>
      </c>
      <c r="F121" s="22">
        <v>130.46</v>
      </c>
      <c r="G121" s="22">
        <v>74.12</v>
      </c>
      <c r="H121" s="22">
        <v>136.58000000000001</v>
      </c>
      <c r="I121" s="22">
        <v>216.79400000000001</v>
      </c>
      <c r="J121" s="22">
        <v>104.691</v>
      </c>
    </row>
    <row r="122" spans="1:12" ht="33.75" x14ac:dyDescent="0.2">
      <c r="A122" s="11" t="s">
        <v>113</v>
      </c>
      <c r="B122" s="12" t="s">
        <v>114</v>
      </c>
      <c r="C122" s="12"/>
      <c r="D122" s="12"/>
      <c r="E122" s="13">
        <v>63</v>
      </c>
      <c r="F122" s="13">
        <v>130.46</v>
      </c>
      <c r="G122" s="13">
        <v>74.12</v>
      </c>
      <c r="H122" s="13">
        <v>136.58000000000001</v>
      </c>
      <c r="I122" s="13">
        <v>216.79400000000001</v>
      </c>
      <c r="J122" s="13">
        <v>104.691</v>
      </c>
    </row>
    <row r="123" spans="1:12" ht="33.75" x14ac:dyDescent="0.2">
      <c r="A123" s="15" t="s">
        <v>113</v>
      </c>
      <c r="B123" s="16" t="s">
        <v>398</v>
      </c>
      <c r="C123" s="16" t="s">
        <v>23</v>
      </c>
      <c r="D123" s="16" t="s">
        <v>24</v>
      </c>
      <c r="E123" s="17">
        <v>63</v>
      </c>
      <c r="F123" s="17">
        <v>130.46</v>
      </c>
      <c r="G123" s="17"/>
      <c r="H123" s="17"/>
      <c r="I123" s="17"/>
      <c r="J123" s="17"/>
    </row>
    <row r="124" spans="1:12" ht="67.5" x14ac:dyDescent="0.2">
      <c r="A124" s="11" t="s">
        <v>115</v>
      </c>
      <c r="B124" s="12" t="s">
        <v>116</v>
      </c>
      <c r="C124" s="12"/>
      <c r="D124" s="12"/>
      <c r="E124" s="13"/>
      <c r="F124" s="13"/>
      <c r="G124" s="13">
        <v>74.12</v>
      </c>
      <c r="H124" s="13">
        <v>136.51</v>
      </c>
      <c r="I124" s="13"/>
      <c r="J124" s="13"/>
    </row>
    <row r="125" spans="1:12" ht="56.25" x14ac:dyDescent="0.2">
      <c r="A125" s="15" t="s">
        <v>115</v>
      </c>
      <c r="B125" s="16" t="s">
        <v>117</v>
      </c>
      <c r="C125" s="16" t="s">
        <v>23</v>
      </c>
      <c r="D125" s="16" t="s">
        <v>24</v>
      </c>
      <c r="E125" s="17"/>
      <c r="F125" s="17"/>
      <c r="G125" s="17">
        <v>74.12</v>
      </c>
      <c r="H125" s="17">
        <v>136.51</v>
      </c>
      <c r="I125" s="17"/>
      <c r="J125" s="17"/>
    </row>
    <row r="126" spans="1:12" ht="45" x14ac:dyDescent="0.2">
      <c r="A126" s="11" t="s">
        <v>118</v>
      </c>
      <c r="B126" s="12" t="s">
        <v>578</v>
      </c>
      <c r="C126" s="12"/>
      <c r="D126" s="12"/>
      <c r="E126" s="13"/>
      <c r="F126" s="13"/>
      <c r="G126" s="13"/>
      <c r="H126" s="13">
        <v>7.0000000000000007E-2</v>
      </c>
      <c r="I126" s="13"/>
      <c r="J126" s="13"/>
    </row>
    <row r="127" spans="1:12" ht="45" x14ac:dyDescent="0.2">
      <c r="A127" s="15" t="s">
        <v>118</v>
      </c>
      <c r="B127" s="16" t="s">
        <v>579</v>
      </c>
      <c r="C127" s="16" t="s">
        <v>23</v>
      </c>
      <c r="D127" s="16" t="s">
        <v>24</v>
      </c>
      <c r="E127" s="17"/>
      <c r="F127" s="17"/>
      <c r="G127" s="17"/>
      <c r="H127" s="17">
        <v>7.0000000000000007E-2</v>
      </c>
      <c r="I127" s="17"/>
      <c r="J127" s="17"/>
    </row>
    <row r="128" spans="1:12" ht="20.100000000000001" customHeight="1" x14ac:dyDescent="0.2">
      <c r="A128" s="25" t="s">
        <v>119</v>
      </c>
      <c r="B128" s="26" t="s">
        <v>120</v>
      </c>
      <c r="C128" s="26"/>
      <c r="D128" s="26"/>
      <c r="E128" s="19">
        <v>10150.5</v>
      </c>
      <c r="F128" s="19">
        <v>8650.5</v>
      </c>
      <c r="G128" s="27">
        <v>921.072</v>
      </c>
      <c r="H128" s="19">
        <v>9030.9699999999993</v>
      </c>
      <c r="I128" s="19">
        <v>88.971000000000004</v>
      </c>
      <c r="J128" s="19">
        <v>104.398</v>
      </c>
      <c r="K128" s="211"/>
      <c r="L128" s="20"/>
    </row>
    <row r="129" spans="1:12" ht="33.75" x14ac:dyDescent="0.2">
      <c r="A129" s="11" t="s">
        <v>121</v>
      </c>
      <c r="B129" s="12" t="s">
        <v>122</v>
      </c>
      <c r="C129" s="12"/>
      <c r="D129" s="12"/>
      <c r="E129" s="13">
        <v>10130.5</v>
      </c>
      <c r="F129" s="13">
        <v>8630.5</v>
      </c>
      <c r="G129" s="13">
        <v>921.072</v>
      </c>
      <c r="H129" s="13">
        <v>9030.9699999999993</v>
      </c>
      <c r="I129" s="13">
        <v>89.146000000000001</v>
      </c>
      <c r="J129" s="13">
        <v>104.64</v>
      </c>
    </row>
    <row r="130" spans="1:12" ht="45" x14ac:dyDescent="0.2">
      <c r="A130" s="11" t="s">
        <v>123</v>
      </c>
      <c r="B130" s="12" t="s">
        <v>124</v>
      </c>
      <c r="C130" s="12"/>
      <c r="D130" s="12"/>
      <c r="E130" s="13">
        <v>10130.5</v>
      </c>
      <c r="F130" s="13">
        <v>8630.5</v>
      </c>
      <c r="G130" s="13">
        <v>921.072</v>
      </c>
      <c r="H130" s="13">
        <v>9030.9699999999993</v>
      </c>
      <c r="I130" s="13">
        <v>89.146000000000001</v>
      </c>
      <c r="J130" s="13">
        <v>104.64</v>
      </c>
    </row>
    <row r="131" spans="1:12" ht="78.75" x14ac:dyDescent="0.2">
      <c r="A131" s="14" t="s">
        <v>126</v>
      </c>
      <c r="B131" s="12" t="s">
        <v>127</v>
      </c>
      <c r="C131" s="12"/>
      <c r="D131" s="12"/>
      <c r="E131" s="13">
        <v>10130.5</v>
      </c>
      <c r="F131" s="13">
        <v>8630.5</v>
      </c>
      <c r="G131" s="13">
        <v>921.072</v>
      </c>
      <c r="H131" s="13">
        <v>9031.57</v>
      </c>
      <c r="I131" s="13">
        <v>89.152000000000001</v>
      </c>
      <c r="J131" s="13">
        <v>104.64700000000001</v>
      </c>
    </row>
    <row r="132" spans="1:12" ht="67.5" x14ac:dyDescent="0.2">
      <c r="A132" s="18" t="s">
        <v>126</v>
      </c>
      <c r="B132" s="16" t="s">
        <v>128</v>
      </c>
      <c r="C132" s="16" t="s">
        <v>23</v>
      </c>
      <c r="D132" s="16" t="s">
        <v>24</v>
      </c>
      <c r="E132" s="17">
        <v>10130.5</v>
      </c>
      <c r="F132" s="17">
        <v>8630.5</v>
      </c>
      <c r="G132" s="17">
        <v>921.072</v>
      </c>
      <c r="H132" s="17">
        <v>9031.57</v>
      </c>
      <c r="I132" s="17">
        <v>89.152000000000001</v>
      </c>
      <c r="J132" s="17">
        <v>104.64700000000001</v>
      </c>
    </row>
    <row r="133" spans="1:12" ht="45" x14ac:dyDescent="0.2">
      <c r="A133" s="11" t="s">
        <v>465</v>
      </c>
      <c r="B133" s="12" t="s">
        <v>466</v>
      </c>
      <c r="C133" s="12"/>
      <c r="D133" s="12"/>
      <c r="E133" s="13"/>
      <c r="F133" s="13"/>
      <c r="G133" s="13"/>
      <c r="H133" s="13">
        <v>-0.6</v>
      </c>
      <c r="I133" s="13"/>
      <c r="J133" s="13"/>
    </row>
    <row r="134" spans="1:12" ht="45" x14ac:dyDescent="0.2">
      <c r="A134" s="15" t="s">
        <v>465</v>
      </c>
      <c r="B134" s="16" t="s">
        <v>467</v>
      </c>
      <c r="C134" s="16" t="s">
        <v>23</v>
      </c>
      <c r="D134" s="16" t="s">
        <v>24</v>
      </c>
      <c r="E134" s="17"/>
      <c r="F134" s="17"/>
      <c r="G134" s="17"/>
      <c r="H134" s="17">
        <v>-0.6</v>
      </c>
      <c r="I134" s="17"/>
      <c r="J134" s="17"/>
    </row>
    <row r="135" spans="1:12" ht="33.75" x14ac:dyDescent="0.2">
      <c r="A135" s="11" t="s">
        <v>129</v>
      </c>
      <c r="B135" s="12" t="s">
        <v>130</v>
      </c>
      <c r="C135" s="12"/>
      <c r="D135" s="12"/>
      <c r="E135" s="13">
        <v>20</v>
      </c>
      <c r="F135" s="13">
        <v>20</v>
      </c>
      <c r="G135" s="13"/>
      <c r="H135" s="13"/>
      <c r="I135" s="13"/>
      <c r="J135" s="13"/>
    </row>
    <row r="136" spans="1:12" ht="22.5" x14ac:dyDescent="0.2">
      <c r="A136" s="11" t="s">
        <v>131</v>
      </c>
      <c r="B136" s="12" t="s">
        <v>132</v>
      </c>
      <c r="C136" s="12"/>
      <c r="D136" s="12"/>
      <c r="E136" s="13">
        <v>20</v>
      </c>
      <c r="F136" s="13">
        <v>20</v>
      </c>
      <c r="G136" s="13"/>
      <c r="H136" s="13"/>
      <c r="I136" s="13"/>
      <c r="J136" s="13"/>
    </row>
    <row r="137" spans="1:12" ht="56.25" x14ac:dyDescent="0.2">
      <c r="A137" s="11" t="s">
        <v>133</v>
      </c>
      <c r="B137" s="12" t="s">
        <v>722</v>
      </c>
      <c r="C137" s="12"/>
      <c r="D137" s="12"/>
      <c r="E137" s="13">
        <v>20</v>
      </c>
      <c r="F137" s="13">
        <v>20</v>
      </c>
      <c r="G137" s="13"/>
      <c r="H137" s="13"/>
      <c r="I137" s="13"/>
      <c r="J137" s="13"/>
    </row>
    <row r="138" spans="1:12" ht="56.25" x14ac:dyDescent="0.2">
      <c r="A138" s="15" t="s">
        <v>133</v>
      </c>
      <c r="B138" s="16" t="s">
        <v>723</v>
      </c>
      <c r="C138" s="16" t="s">
        <v>23</v>
      </c>
      <c r="D138" s="16" t="s">
        <v>24</v>
      </c>
      <c r="E138" s="17">
        <v>20</v>
      </c>
      <c r="F138" s="17">
        <v>20</v>
      </c>
      <c r="G138" s="17"/>
      <c r="H138" s="17"/>
      <c r="I138" s="17"/>
      <c r="J138" s="17"/>
    </row>
    <row r="139" spans="1:12" ht="46.15" customHeight="1" x14ac:dyDescent="0.2">
      <c r="A139" s="25" t="s">
        <v>134</v>
      </c>
      <c r="B139" s="26" t="s">
        <v>135</v>
      </c>
      <c r="C139" s="26"/>
      <c r="D139" s="26"/>
      <c r="E139" s="19">
        <v>11850.475</v>
      </c>
      <c r="F139" s="19">
        <v>16252.965</v>
      </c>
      <c r="G139" s="27">
        <v>1541.9970000000001</v>
      </c>
      <c r="H139" s="19">
        <v>17216.856</v>
      </c>
      <c r="I139" s="19">
        <v>145.28399999999999</v>
      </c>
      <c r="J139" s="19">
        <v>105.931</v>
      </c>
      <c r="K139" s="211"/>
      <c r="L139" s="20"/>
    </row>
    <row r="140" spans="1:12" s="212" customFormat="1" ht="22.5" x14ac:dyDescent="0.2">
      <c r="A140" s="28" t="s">
        <v>136</v>
      </c>
      <c r="B140" s="29" t="s">
        <v>137</v>
      </c>
      <c r="C140" s="29"/>
      <c r="D140" s="29"/>
      <c r="E140" s="22">
        <v>3.7749999999999999</v>
      </c>
      <c r="F140" s="22">
        <v>3.7749999999999999</v>
      </c>
      <c r="G140" s="22"/>
      <c r="H140" s="22">
        <v>3.7749999999999999</v>
      </c>
      <c r="I140" s="22">
        <v>100</v>
      </c>
      <c r="J140" s="22">
        <v>100</v>
      </c>
    </row>
    <row r="141" spans="1:12" ht="33.75" x14ac:dyDescent="0.2">
      <c r="A141" s="11" t="s">
        <v>138</v>
      </c>
      <c r="B141" s="12" t="s">
        <v>139</v>
      </c>
      <c r="C141" s="12"/>
      <c r="D141" s="12"/>
      <c r="E141" s="13">
        <v>3.7749999999999999</v>
      </c>
      <c r="F141" s="13">
        <v>3.7749999999999999</v>
      </c>
      <c r="G141" s="13"/>
      <c r="H141" s="13">
        <v>3.7749999999999999</v>
      </c>
      <c r="I141" s="13">
        <v>100</v>
      </c>
      <c r="J141" s="13">
        <v>100</v>
      </c>
    </row>
    <row r="142" spans="1:12" ht="33.75" x14ac:dyDescent="0.2">
      <c r="A142" s="15" t="s">
        <v>138</v>
      </c>
      <c r="B142" s="16" t="s">
        <v>140</v>
      </c>
      <c r="C142" s="16" t="s">
        <v>23</v>
      </c>
      <c r="D142" s="16" t="s">
        <v>24</v>
      </c>
      <c r="E142" s="17">
        <v>3.7749999999999999</v>
      </c>
      <c r="F142" s="17">
        <v>3.7749999999999999</v>
      </c>
      <c r="G142" s="17"/>
      <c r="H142" s="17">
        <v>3.7749999999999999</v>
      </c>
      <c r="I142" s="17">
        <v>100</v>
      </c>
      <c r="J142" s="17">
        <v>100</v>
      </c>
    </row>
    <row r="143" spans="1:12" s="212" customFormat="1" ht="76.5" customHeight="1" x14ac:dyDescent="0.2">
      <c r="A143" s="28" t="s">
        <v>141</v>
      </c>
      <c r="B143" s="29" t="s">
        <v>142</v>
      </c>
      <c r="C143" s="29"/>
      <c r="D143" s="29"/>
      <c r="E143" s="22">
        <v>10716.7</v>
      </c>
      <c r="F143" s="22">
        <v>14896</v>
      </c>
      <c r="G143" s="22">
        <v>1359.7339999999999</v>
      </c>
      <c r="H143" s="22">
        <v>15877.675999999999</v>
      </c>
      <c r="I143" s="22">
        <v>148.15799999999999</v>
      </c>
      <c r="J143" s="22">
        <v>106.59</v>
      </c>
    </row>
    <row r="144" spans="1:12" s="212" customFormat="1" ht="76.5" customHeight="1" x14ac:dyDescent="0.2">
      <c r="A144" s="28" t="s">
        <v>143</v>
      </c>
      <c r="B144" s="29" t="s">
        <v>144</v>
      </c>
      <c r="C144" s="29"/>
      <c r="D144" s="29"/>
      <c r="E144" s="22">
        <v>10075.700000000001</v>
      </c>
      <c r="F144" s="22">
        <v>14521.8</v>
      </c>
      <c r="G144" s="22">
        <v>1299.8920000000001</v>
      </c>
      <c r="H144" s="22">
        <v>15443.67</v>
      </c>
      <c r="I144" s="22">
        <v>153.27600000000001</v>
      </c>
      <c r="J144" s="22">
        <v>106.348</v>
      </c>
    </row>
    <row r="145" spans="1:10" ht="78.75" x14ac:dyDescent="0.2">
      <c r="A145" s="14" t="s">
        <v>580</v>
      </c>
      <c r="B145" s="12" t="s">
        <v>415</v>
      </c>
      <c r="C145" s="12"/>
      <c r="D145" s="12"/>
      <c r="E145" s="13">
        <v>4165</v>
      </c>
      <c r="F145" s="13">
        <v>6738.9</v>
      </c>
      <c r="G145" s="13">
        <v>69.146000000000001</v>
      </c>
      <c r="H145" s="13">
        <v>6740.4830000000002</v>
      </c>
      <c r="I145" s="13">
        <v>161.83600000000001</v>
      </c>
      <c r="J145" s="13">
        <v>100.024</v>
      </c>
    </row>
    <row r="146" spans="1:10" ht="78.75" x14ac:dyDescent="0.2">
      <c r="A146" s="18" t="s">
        <v>580</v>
      </c>
      <c r="B146" s="16" t="s">
        <v>416</v>
      </c>
      <c r="C146" s="16" t="s">
        <v>23</v>
      </c>
      <c r="D146" s="16" t="s">
        <v>24</v>
      </c>
      <c r="E146" s="17">
        <v>4165</v>
      </c>
      <c r="F146" s="17">
        <v>6738.9</v>
      </c>
      <c r="G146" s="17">
        <v>69.146000000000001</v>
      </c>
      <c r="H146" s="17">
        <v>6740.4830000000002</v>
      </c>
      <c r="I146" s="17">
        <v>161.83600000000001</v>
      </c>
      <c r="J146" s="17">
        <v>100.024</v>
      </c>
    </row>
    <row r="147" spans="1:10" ht="67.5" x14ac:dyDescent="0.2">
      <c r="A147" s="14" t="s">
        <v>145</v>
      </c>
      <c r="B147" s="12" t="s">
        <v>146</v>
      </c>
      <c r="C147" s="12"/>
      <c r="D147" s="12"/>
      <c r="E147" s="13">
        <v>5910.7</v>
      </c>
      <c r="F147" s="13">
        <v>7782.9</v>
      </c>
      <c r="G147" s="13">
        <v>1230.7460000000001</v>
      </c>
      <c r="H147" s="13">
        <v>8703.1869999999999</v>
      </c>
      <c r="I147" s="13">
        <v>147.245</v>
      </c>
      <c r="J147" s="13">
        <v>111.825</v>
      </c>
    </row>
    <row r="148" spans="1:10" ht="67.5" x14ac:dyDescent="0.2">
      <c r="A148" s="18" t="s">
        <v>145</v>
      </c>
      <c r="B148" s="16" t="s">
        <v>147</v>
      </c>
      <c r="C148" s="16" t="s">
        <v>23</v>
      </c>
      <c r="D148" s="16" t="s">
        <v>24</v>
      </c>
      <c r="E148" s="17"/>
      <c r="F148" s="17"/>
      <c r="G148" s="17">
        <v>-202.74600000000001</v>
      </c>
      <c r="H148" s="17">
        <v>-202.74600000000001</v>
      </c>
      <c r="I148" s="17"/>
      <c r="J148" s="17"/>
    </row>
    <row r="149" spans="1:10" ht="67.5" x14ac:dyDescent="0.2">
      <c r="A149" s="18" t="s">
        <v>145</v>
      </c>
      <c r="B149" s="16" t="s">
        <v>148</v>
      </c>
      <c r="C149" s="16" t="s">
        <v>23</v>
      </c>
      <c r="D149" s="16" t="s">
        <v>24</v>
      </c>
      <c r="E149" s="17">
        <v>4161.6000000000004</v>
      </c>
      <c r="F149" s="17">
        <v>3097.7</v>
      </c>
      <c r="G149" s="17">
        <v>1220.8430000000001</v>
      </c>
      <c r="H149" s="17">
        <v>4105.5439999999999</v>
      </c>
      <c r="I149" s="17">
        <v>98.653000000000006</v>
      </c>
      <c r="J149" s="17">
        <v>132.535</v>
      </c>
    </row>
    <row r="150" spans="1:10" ht="67.5" x14ac:dyDescent="0.2">
      <c r="A150" s="18" t="s">
        <v>145</v>
      </c>
      <c r="B150" s="16" t="s">
        <v>149</v>
      </c>
      <c r="C150" s="16" t="s">
        <v>23</v>
      </c>
      <c r="D150" s="16" t="s">
        <v>24</v>
      </c>
      <c r="E150" s="17">
        <v>1749.1</v>
      </c>
      <c r="F150" s="17">
        <v>4685.2</v>
      </c>
      <c r="G150" s="17">
        <v>212.649</v>
      </c>
      <c r="H150" s="17">
        <v>4800.3890000000001</v>
      </c>
      <c r="I150" s="17">
        <v>274.44900000000001</v>
      </c>
      <c r="J150" s="17">
        <v>102.459</v>
      </c>
    </row>
    <row r="151" spans="1:10" s="212" customFormat="1" ht="76.5" customHeight="1" x14ac:dyDescent="0.2">
      <c r="A151" s="28" t="s">
        <v>417</v>
      </c>
      <c r="B151" s="29" t="s">
        <v>468</v>
      </c>
      <c r="C151" s="29"/>
      <c r="D151" s="29"/>
      <c r="E151" s="22">
        <v>641</v>
      </c>
      <c r="F151" s="22">
        <v>374.2</v>
      </c>
      <c r="G151" s="22">
        <v>59.841999999999999</v>
      </c>
      <c r="H151" s="22">
        <v>434.00599999999997</v>
      </c>
      <c r="I151" s="22">
        <v>67.707999999999998</v>
      </c>
      <c r="J151" s="22">
        <v>115.982</v>
      </c>
    </row>
    <row r="152" spans="1:10" ht="67.5" x14ac:dyDescent="0.2">
      <c r="A152" s="11" t="s">
        <v>419</v>
      </c>
      <c r="B152" s="12" t="s">
        <v>418</v>
      </c>
      <c r="C152" s="12"/>
      <c r="D152" s="12"/>
      <c r="E152" s="13">
        <v>641</v>
      </c>
      <c r="F152" s="13">
        <v>374.2</v>
      </c>
      <c r="G152" s="13">
        <v>59.841999999999999</v>
      </c>
      <c r="H152" s="13">
        <v>434.00599999999997</v>
      </c>
      <c r="I152" s="13">
        <v>67.707999999999998</v>
      </c>
      <c r="J152" s="13">
        <v>115.982</v>
      </c>
    </row>
    <row r="153" spans="1:10" ht="67.5" x14ac:dyDescent="0.2">
      <c r="A153" s="15" t="s">
        <v>419</v>
      </c>
      <c r="B153" s="16" t="s">
        <v>420</v>
      </c>
      <c r="C153" s="16" t="s">
        <v>23</v>
      </c>
      <c r="D153" s="16" t="s">
        <v>24</v>
      </c>
      <c r="E153" s="17">
        <v>641</v>
      </c>
      <c r="F153" s="17">
        <v>374.2</v>
      </c>
      <c r="G153" s="17">
        <v>59.841999999999999</v>
      </c>
      <c r="H153" s="17">
        <v>434.00599999999997</v>
      </c>
      <c r="I153" s="17">
        <v>67.707999999999998</v>
      </c>
      <c r="J153" s="17">
        <v>115.982</v>
      </c>
    </row>
    <row r="154" spans="1:10" s="212" customFormat="1" ht="40.15" customHeight="1" x14ac:dyDescent="0.2">
      <c r="A154" s="28" t="s">
        <v>724</v>
      </c>
      <c r="B154" s="29" t="s">
        <v>725</v>
      </c>
      <c r="C154" s="29"/>
      <c r="D154" s="29"/>
      <c r="E154" s="22"/>
      <c r="F154" s="22">
        <v>1.139</v>
      </c>
      <c r="G154" s="22"/>
      <c r="H154" s="22">
        <v>1.139</v>
      </c>
      <c r="I154" s="22"/>
      <c r="J154" s="22">
        <v>100</v>
      </c>
    </row>
    <row r="155" spans="1:10" ht="33.75" x14ac:dyDescent="0.2">
      <c r="A155" s="11" t="s">
        <v>421</v>
      </c>
      <c r="B155" s="12" t="s">
        <v>726</v>
      </c>
      <c r="C155" s="12"/>
      <c r="D155" s="12"/>
      <c r="E155" s="13"/>
      <c r="F155" s="13">
        <v>1.139</v>
      </c>
      <c r="G155" s="13"/>
      <c r="H155" s="13">
        <v>1.139</v>
      </c>
      <c r="I155" s="13"/>
      <c r="J155" s="13">
        <v>100</v>
      </c>
    </row>
    <row r="156" spans="1:10" ht="135" x14ac:dyDescent="0.2">
      <c r="A156" s="14" t="s">
        <v>727</v>
      </c>
      <c r="B156" s="12" t="s">
        <v>728</v>
      </c>
      <c r="C156" s="12"/>
      <c r="D156" s="12"/>
      <c r="E156" s="13"/>
      <c r="F156" s="13">
        <v>1.139</v>
      </c>
      <c r="G156" s="13"/>
      <c r="H156" s="13">
        <v>1.139</v>
      </c>
      <c r="I156" s="13"/>
      <c r="J156" s="13">
        <v>100</v>
      </c>
    </row>
    <row r="157" spans="1:10" ht="123.75" x14ac:dyDescent="0.2">
      <c r="A157" s="18" t="s">
        <v>727</v>
      </c>
      <c r="B157" s="16" t="s">
        <v>729</v>
      </c>
      <c r="C157" s="16" t="s">
        <v>23</v>
      </c>
      <c r="D157" s="16" t="s">
        <v>24</v>
      </c>
      <c r="E157" s="17"/>
      <c r="F157" s="17">
        <v>1.139</v>
      </c>
      <c r="G157" s="17"/>
      <c r="H157" s="17">
        <v>1.139</v>
      </c>
      <c r="I157" s="17"/>
      <c r="J157" s="17">
        <v>100</v>
      </c>
    </row>
    <row r="158" spans="1:10" s="212" customFormat="1" ht="33.950000000000003" customHeight="1" x14ac:dyDescent="0.2">
      <c r="A158" s="28" t="s">
        <v>730</v>
      </c>
      <c r="B158" s="29" t="s">
        <v>731</v>
      </c>
      <c r="C158" s="29"/>
      <c r="D158" s="29"/>
      <c r="E158" s="22"/>
      <c r="F158" s="22">
        <v>9</v>
      </c>
      <c r="G158" s="22"/>
      <c r="H158" s="22">
        <v>9</v>
      </c>
      <c r="I158" s="22"/>
      <c r="J158" s="22">
        <v>100</v>
      </c>
    </row>
    <row r="159" spans="1:10" ht="45" x14ac:dyDescent="0.2">
      <c r="A159" s="11" t="s">
        <v>732</v>
      </c>
      <c r="B159" s="12" t="s">
        <v>733</v>
      </c>
      <c r="C159" s="12"/>
      <c r="D159" s="12"/>
      <c r="E159" s="13"/>
      <c r="F159" s="13">
        <v>9</v>
      </c>
      <c r="G159" s="13"/>
      <c r="H159" s="13">
        <v>9</v>
      </c>
      <c r="I159" s="13"/>
      <c r="J159" s="13">
        <v>100</v>
      </c>
    </row>
    <row r="160" spans="1:10" ht="56.25" x14ac:dyDescent="0.2">
      <c r="A160" s="11" t="s">
        <v>734</v>
      </c>
      <c r="B160" s="12" t="s">
        <v>735</v>
      </c>
      <c r="C160" s="12"/>
      <c r="D160" s="12"/>
      <c r="E160" s="13"/>
      <c r="F160" s="13">
        <v>9</v>
      </c>
      <c r="G160" s="13"/>
      <c r="H160" s="13">
        <v>9</v>
      </c>
      <c r="I160" s="13"/>
      <c r="J160" s="13">
        <v>100</v>
      </c>
    </row>
    <row r="161" spans="1:12" ht="45" x14ac:dyDescent="0.2">
      <c r="A161" s="15" t="s">
        <v>734</v>
      </c>
      <c r="B161" s="16" t="s">
        <v>736</v>
      </c>
      <c r="C161" s="16" t="s">
        <v>23</v>
      </c>
      <c r="D161" s="16" t="s">
        <v>24</v>
      </c>
      <c r="E161" s="17"/>
      <c r="F161" s="17">
        <v>9</v>
      </c>
      <c r="G161" s="17"/>
      <c r="H161" s="17">
        <v>9</v>
      </c>
      <c r="I161" s="17"/>
      <c r="J161" s="17">
        <v>100</v>
      </c>
    </row>
    <row r="162" spans="1:12" s="212" customFormat="1" ht="79.5" customHeight="1" x14ac:dyDescent="0.2">
      <c r="A162" s="28" t="s">
        <v>155</v>
      </c>
      <c r="B162" s="29" t="s">
        <v>156</v>
      </c>
      <c r="C162" s="29"/>
      <c r="D162" s="29"/>
      <c r="E162" s="22">
        <v>1130</v>
      </c>
      <c r="F162" s="22">
        <v>1343.0509999999999</v>
      </c>
      <c r="G162" s="22">
        <v>182.26300000000001</v>
      </c>
      <c r="H162" s="22">
        <v>1325.2670000000001</v>
      </c>
      <c r="I162" s="22">
        <v>117.28</v>
      </c>
      <c r="J162" s="22">
        <v>98.676000000000002</v>
      </c>
    </row>
    <row r="163" spans="1:12" ht="67.5" x14ac:dyDescent="0.2">
      <c r="A163" s="14" t="s">
        <v>157</v>
      </c>
      <c r="B163" s="12" t="s">
        <v>158</v>
      </c>
      <c r="C163" s="12"/>
      <c r="D163" s="12"/>
      <c r="E163" s="13">
        <v>1130</v>
      </c>
      <c r="F163" s="13">
        <v>1343.0509999999999</v>
      </c>
      <c r="G163" s="13">
        <v>182.26300000000001</v>
      </c>
      <c r="H163" s="13">
        <v>1325.2670000000001</v>
      </c>
      <c r="I163" s="13">
        <v>117.28</v>
      </c>
      <c r="J163" s="13">
        <v>98.676000000000002</v>
      </c>
    </row>
    <row r="164" spans="1:12" ht="67.5" x14ac:dyDescent="0.2">
      <c r="A164" s="11" t="s">
        <v>159</v>
      </c>
      <c r="B164" s="12" t="s">
        <v>160</v>
      </c>
      <c r="C164" s="12"/>
      <c r="D164" s="12"/>
      <c r="E164" s="13">
        <v>1130</v>
      </c>
      <c r="F164" s="13">
        <v>1343.0509999999999</v>
      </c>
      <c r="G164" s="13">
        <v>182.26300000000001</v>
      </c>
      <c r="H164" s="13">
        <v>1325.2670000000001</v>
      </c>
      <c r="I164" s="13">
        <v>117.28</v>
      </c>
      <c r="J164" s="13">
        <v>98.676000000000002</v>
      </c>
    </row>
    <row r="165" spans="1:12" ht="67.5" x14ac:dyDescent="0.2">
      <c r="A165" s="15" t="s">
        <v>159</v>
      </c>
      <c r="B165" s="16" t="s">
        <v>161</v>
      </c>
      <c r="C165" s="16" t="s">
        <v>23</v>
      </c>
      <c r="D165" s="16" t="s">
        <v>24</v>
      </c>
      <c r="E165" s="17">
        <v>1130</v>
      </c>
      <c r="F165" s="17">
        <v>1343.0509999999999</v>
      </c>
      <c r="G165" s="17">
        <v>182.26300000000001</v>
      </c>
      <c r="H165" s="17">
        <v>1325.2670000000001</v>
      </c>
      <c r="I165" s="17">
        <v>117.28</v>
      </c>
      <c r="J165" s="17">
        <v>98.676000000000002</v>
      </c>
    </row>
    <row r="166" spans="1:12" ht="33.200000000000003" customHeight="1" x14ac:dyDescent="0.2">
      <c r="A166" s="25" t="s">
        <v>162</v>
      </c>
      <c r="B166" s="26" t="s">
        <v>163</v>
      </c>
      <c r="C166" s="26"/>
      <c r="D166" s="26"/>
      <c r="E166" s="19">
        <v>802.4</v>
      </c>
      <c r="F166" s="19">
        <v>890</v>
      </c>
      <c r="G166" s="27">
        <v>-0.879</v>
      </c>
      <c r="H166" s="19">
        <v>826.70299999999997</v>
      </c>
      <c r="I166" s="19">
        <v>103.029</v>
      </c>
      <c r="J166" s="19">
        <v>92.888000000000005</v>
      </c>
      <c r="K166" s="211"/>
      <c r="L166" s="20"/>
    </row>
    <row r="167" spans="1:12" ht="22.5" x14ac:dyDescent="0.2">
      <c r="A167" s="11" t="s">
        <v>164</v>
      </c>
      <c r="B167" s="12" t="s">
        <v>165</v>
      </c>
      <c r="C167" s="12"/>
      <c r="D167" s="12"/>
      <c r="E167" s="13">
        <v>802.4</v>
      </c>
      <c r="F167" s="13">
        <v>890</v>
      </c>
      <c r="G167" s="13">
        <v>-0.879</v>
      </c>
      <c r="H167" s="13">
        <v>826.70299999999997</v>
      </c>
      <c r="I167" s="13">
        <v>103.029</v>
      </c>
      <c r="J167" s="13">
        <v>92.888000000000005</v>
      </c>
    </row>
    <row r="168" spans="1:12" ht="22.5" x14ac:dyDescent="0.2">
      <c r="A168" s="11" t="s">
        <v>166</v>
      </c>
      <c r="B168" s="12" t="s">
        <v>167</v>
      </c>
      <c r="C168" s="12"/>
      <c r="D168" s="12"/>
      <c r="E168" s="13">
        <v>202.6</v>
      </c>
      <c r="F168" s="13">
        <v>284</v>
      </c>
      <c r="G168" s="13">
        <v>0.75700000000000001</v>
      </c>
      <c r="H168" s="13">
        <v>245.15199999999999</v>
      </c>
      <c r="I168" s="13">
        <v>121.003</v>
      </c>
      <c r="J168" s="13">
        <v>86.320999999999998</v>
      </c>
    </row>
    <row r="169" spans="1:12" ht="22.5" x14ac:dyDescent="0.2">
      <c r="A169" s="15" t="s">
        <v>166</v>
      </c>
      <c r="B169" s="16" t="s">
        <v>168</v>
      </c>
      <c r="C169" s="16" t="s">
        <v>23</v>
      </c>
      <c r="D169" s="16" t="s">
        <v>24</v>
      </c>
      <c r="E169" s="17">
        <v>202.6</v>
      </c>
      <c r="F169" s="17">
        <v>284</v>
      </c>
      <c r="G169" s="17"/>
      <c r="H169" s="17"/>
      <c r="I169" s="17"/>
      <c r="J169" s="17"/>
    </row>
    <row r="170" spans="1:12" ht="56.25" x14ac:dyDescent="0.2">
      <c r="A170" s="11" t="s">
        <v>169</v>
      </c>
      <c r="B170" s="12" t="s">
        <v>170</v>
      </c>
      <c r="C170" s="12"/>
      <c r="D170" s="12"/>
      <c r="E170" s="13"/>
      <c r="F170" s="13"/>
      <c r="G170" s="13">
        <v>0.75700000000000001</v>
      </c>
      <c r="H170" s="13">
        <v>245.15199999999999</v>
      </c>
      <c r="I170" s="13"/>
      <c r="J170" s="13"/>
    </row>
    <row r="171" spans="1:12" ht="56.25" x14ac:dyDescent="0.2">
      <c r="A171" s="15" t="s">
        <v>169</v>
      </c>
      <c r="B171" s="16" t="s">
        <v>171</v>
      </c>
      <c r="C171" s="16" t="s">
        <v>23</v>
      </c>
      <c r="D171" s="16" t="s">
        <v>24</v>
      </c>
      <c r="E171" s="17"/>
      <c r="F171" s="17"/>
      <c r="G171" s="17">
        <v>0.75700000000000001</v>
      </c>
      <c r="H171" s="17">
        <v>245.15199999999999</v>
      </c>
      <c r="I171" s="17"/>
      <c r="J171" s="17"/>
    </row>
    <row r="172" spans="1:12" ht="22.5" x14ac:dyDescent="0.2">
      <c r="A172" s="11" t="s">
        <v>174</v>
      </c>
      <c r="B172" s="12" t="s">
        <v>175</v>
      </c>
      <c r="C172" s="12"/>
      <c r="D172" s="12"/>
      <c r="E172" s="13">
        <v>23.7</v>
      </c>
      <c r="F172" s="13">
        <v>16</v>
      </c>
      <c r="G172" s="13"/>
      <c r="H172" s="13">
        <v>10.909000000000001</v>
      </c>
      <c r="I172" s="13">
        <v>46.029000000000003</v>
      </c>
      <c r="J172" s="13">
        <v>68.180000000000007</v>
      </c>
    </row>
    <row r="173" spans="1:12" ht="45" x14ac:dyDescent="0.2">
      <c r="A173" s="11" t="s">
        <v>177</v>
      </c>
      <c r="B173" s="12" t="s">
        <v>178</v>
      </c>
      <c r="C173" s="12"/>
      <c r="D173" s="12"/>
      <c r="E173" s="13">
        <v>23.7</v>
      </c>
      <c r="F173" s="13">
        <v>16</v>
      </c>
      <c r="G173" s="13"/>
      <c r="H173" s="13">
        <v>10.909000000000001</v>
      </c>
      <c r="I173" s="13">
        <v>46.029000000000003</v>
      </c>
      <c r="J173" s="13">
        <v>68.180000000000007</v>
      </c>
    </row>
    <row r="174" spans="1:12" ht="45" x14ac:dyDescent="0.2">
      <c r="A174" s="15" t="s">
        <v>177</v>
      </c>
      <c r="B174" s="16" t="s">
        <v>179</v>
      </c>
      <c r="C174" s="16" t="s">
        <v>23</v>
      </c>
      <c r="D174" s="16" t="s">
        <v>24</v>
      </c>
      <c r="E174" s="17">
        <v>23.7</v>
      </c>
      <c r="F174" s="17">
        <v>16</v>
      </c>
      <c r="G174" s="17"/>
      <c r="H174" s="17">
        <v>10.909000000000001</v>
      </c>
      <c r="I174" s="17">
        <v>46.029000000000003</v>
      </c>
      <c r="J174" s="17">
        <v>68.180000000000007</v>
      </c>
    </row>
    <row r="175" spans="1:12" ht="22.5" x14ac:dyDescent="0.2">
      <c r="A175" s="11" t="s">
        <v>180</v>
      </c>
      <c r="B175" s="12" t="s">
        <v>181</v>
      </c>
      <c r="C175" s="12"/>
      <c r="D175" s="12"/>
      <c r="E175" s="13">
        <v>576.1</v>
      </c>
      <c r="F175" s="13">
        <v>590</v>
      </c>
      <c r="G175" s="13">
        <v>-1.6359999999999999</v>
      </c>
      <c r="H175" s="13">
        <v>570.64200000000005</v>
      </c>
      <c r="I175" s="13">
        <v>99.052999999999997</v>
      </c>
      <c r="J175" s="13">
        <v>96.718999999999994</v>
      </c>
    </row>
    <row r="176" spans="1:12" ht="22.5" x14ac:dyDescent="0.2">
      <c r="A176" s="11" t="s">
        <v>581</v>
      </c>
      <c r="B176" s="12" t="s">
        <v>582</v>
      </c>
      <c r="C176" s="12"/>
      <c r="D176" s="12"/>
      <c r="E176" s="13">
        <v>521.1</v>
      </c>
      <c r="F176" s="13">
        <v>580</v>
      </c>
      <c r="G176" s="13">
        <v>-1.6359999999999999</v>
      </c>
      <c r="H176" s="13">
        <v>570.16800000000001</v>
      </c>
      <c r="I176" s="13">
        <v>109.416</v>
      </c>
      <c r="J176" s="13">
        <v>98.305000000000007</v>
      </c>
    </row>
    <row r="177" spans="1:12" ht="45" x14ac:dyDescent="0.2">
      <c r="A177" s="11" t="s">
        <v>583</v>
      </c>
      <c r="B177" s="12" t="s">
        <v>584</v>
      </c>
      <c r="C177" s="12"/>
      <c r="D177" s="12"/>
      <c r="E177" s="13">
        <v>521.1</v>
      </c>
      <c r="F177" s="13">
        <v>580</v>
      </c>
      <c r="G177" s="13">
        <v>-1.6359999999999999</v>
      </c>
      <c r="H177" s="13">
        <v>570.16800000000001</v>
      </c>
      <c r="I177" s="13">
        <v>109.416</v>
      </c>
      <c r="J177" s="13">
        <v>98.305000000000007</v>
      </c>
    </row>
    <row r="178" spans="1:12" ht="45" x14ac:dyDescent="0.2">
      <c r="A178" s="15" t="s">
        <v>583</v>
      </c>
      <c r="B178" s="16" t="s">
        <v>585</v>
      </c>
      <c r="C178" s="16" t="s">
        <v>23</v>
      </c>
      <c r="D178" s="16" t="s">
        <v>24</v>
      </c>
      <c r="E178" s="17">
        <v>521.1</v>
      </c>
      <c r="F178" s="17">
        <v>580</v>
      </c>
      <c r="G178" s="17">
        <v>-1.6359999999999999</v>
      </c>
      <c r="H178" s="17">
        <v>570.16800000000001</v>
      </c>
      <c r="I178" s="17">
        <v>109.416</v>
      </c>
      <c r="J178" s="17">
        <v>98.305000000000007</v>
      </c>
    </row>
    <row r="179" spans="1:12" ht="22.5" x14ac:dyDescent="0.2">
      <c r="A179" s="11" t="s">
        <v>586</v>
      </c>
      <c r="B179" s="12" t="s">
        <v>587</v>
      </c>
      <c r="C179" s="12"/>
      <c r="D179" s="12"/>
      <c r="E179" s="13">
        <v>55</v>
      </c>
      <c r="F179" s="13">
        <v>10</v>
      </c>
      <c r="G179" s="13"/>
      <c r="H179" s="13">
        <v>0.47399999999999998</v>
      </c>
      <c r="I179" s="13">
        <v>0.86199999999999999</v>
      </c>
      <c r="J179" s="13">
        <v>4.742</v>
      </c>
    </row>
    <row r="180" spans="1:12" ht="45" x14ac:dyDescent="0.2">
      <c r="A180" s="11" t="s">
        <v>588</v>
      </c>
      <c r="B180" s="12" t="s">
        <v>589</v>
      </c>
      <c r="C180" s="12"/>
      <c r="D180" s="12"/>
      <c r="E180" s="13">
        <v>55</v>
      </c>
      <c r="F180" s="13">
        <v>10</v>
      </c>
      <c r="G180" s="13"/>
      <c r="H180" s="13">
        <v>0.47399999999999998</v>
      </c>
      <c r="I180" s="13">
        <v>0.86199999999999999</v>
      </c>
      <c r="J180" s="13">
        <v>4.742</v>
      </c>
    </row>
    <row r="181" spans="1:12" ht="45" x14ac:dyDescent="0.2">
      <c r="A181" s="15" t="s">
        <v>588</v>
      </c>
      <c r="B181" s="16" t="s">
        <v>590</v>
      </c>
      <c r="C181" s="16" t="s">
        <v>23</v>
      </c>
      <c r="D181" s="16" t="s">
        <v>24</v>
      </c>
      <c r="E181" s="17">
        <v>55</v>
      </c>
      <c r="F181" s="17">
        <v>10</v>
      </c>
      <c r="G181" s="17"/>
      <c r="H181" s="17">
        <v>0.47399999999999998</v>
      </c>
      <c r="I181" s="17">
        <v>0.86199999999999999</v>
      </c>
      <c r="J181" s="17">
        <v>4.742</v>
      </c>
    </row>
    <row r="182" spans="1:12" ht="33.200000000000003" customHeight="1" x14ac:dyDescent="0.2">
      <c r="A182" s="25" t="s">
        <v>737</v>
      </c>
      <c r="B182" s="26" t="s">
        <v>183</v>
      </c>
      <c r="C182" s="26"/>
      <c r="D182" s="26"/>
      <c r="E182" s="19">
        <v>53550</v>
      </c>
      <c r="F182" s="19">
        <v>64803.96</v>
      </c>
      <c r="G182" s="27">
        <v>6480.6859999999997</v>
      </c>
      <c r="H182" s="19">
        <v>65808.880999999994</v>
      </c>
      <c r="I182" s="19">
        <v>122.892</v>
      </c>
      <c r="J182" s="19">
        <v>101.551</v>
      </c>
      <c r="K182" s="211"/>
      <c r="L182" s="20"/>
    </row>
    <row r="183" spans="1:12" ht="22.5" x14ac:dyDescent="0.2">
      <c r="A183" s="11" t="s">
        <v>184</v>
      </c>
      <c r="B183" s="12" t="s">
        <v>185</v>
      </c>
      <c r="C183" s="12"/>
      <c r="D183" s="12"/>
      <c r="E183" s="13">
        <v>53550</v>
      </c>
      <c r="F183" s="13">
        <v>59324.796000000002</v>
      </c>
      <c r="G183" s="13">
        <v>6466.3239999999996</v>
      </c>
      <c r="H183" s="13">
        <v>60318.355000000003</v>
      </c>
      <c r="I183" s="13">
        <v>112.639</v>
      </c>
      <c r="J183" s="13">
        <v>101.675</v>
      </c>
    </row>
    <row r="184" spans="1:12" ht="22.5" x14ac:dyDescent="0.2">
      <c r="A184" s="11" t="s">
        <v>186</v>
      </c>
      <c r="B184" s="12" t="s">
        <v>187</v>
      </c>
      <c r="C184" s="12"/>
      <c r="D184" s="12"/>
      <c r="E184" s="13">
        <v>53550</v>
      </c>
      <c r="F184" s="13">
        <v>59324.796000000002</v>
      </c>
      <c r="G184" s="13">
        <v>6466.3239999999996</v>
      </c>
      <c r="H184" s="13">
        <v>60318.355000000003</v>
      </c>
      <c r="I184" s="13">
        <v>112.639</v>
      </c>
      <c r="J184" s="13">
        <v>101.675</v>
      </c>
    </row>
    <row r="185" spans="1:12" ht="33.75" x14ac:dyDescent="0.2">
      <c r="A185" s="11" t="s">
        <v>188</v>
      </c>
      <c r="B185" s="12" t="s">
        <v>189</v>
      </c>
      <c r="C185" s="12"/>
      <c r="D185" s="12"/>
      <c r="E185" s="13">
        <v>53550</v>
      </c>
      <c r="F185" s="13">
        <v>59324.796000000002</v>
      </c>
      <c r="G185" s="13">
        <v>6466.3239999999996</v>
      </c>
      <c r="H185" s="13">
        <v>60318.355000000003</v>
      </c>
      <c r="I185" s="13">
        <v>112.639</v>
      </c>
      <c r="J185" s="13">
        <v>101.675</v>
      </c>
    </row>
    <row r="186" spans="1:12" s="212" customFormat="1" ht="33.75" x14ac:dyDescent="0.2">
      <c r="A186" s="213" t="s">
        <v>188</v>
      </c>
      <c r="B186" s="214" t="s">
        <v>190</v>
      </c>
      <c r="C186" s="214" t="s">
        <v>23</v>
      </c>
      <c r="D186" s="214" t="s">
        <v>24</v>
      </c>
      <c r="E186" s="215">
        <v>100</v>
      </c>
      <c r="F186" s="215">
        <v>116</v>
      </c>
      <c r="G186" s="215">
        <v>11.571999999999999</v>
      </c>
      <c r="H186" s="215">
        <v>116</v>
      </c>
      <c r="I186" s="215">
        <v>116</v>
      </c>
      <c r="J186" s="215">
        <v>100</v>
      </c>
    </row>
    <row r="187" spans="1:12" s="212" customFormat="1" ht="33.75" x14ac:dyDescent="0.2">
      <c r="A187" s="213" t="s">
        <v>188</v>
      </c>
      <c r="B187" s="214" t="s">
        <v>1034</v>
      </c>
      <c r="C187" s="214" t="s">
        <v>23</v>
      </c>
      <c r="D187" s="214" t="s">
        <v>24</v>
      </c>
      <c r="E187" s="215"/>
      <c r="F187" s="215"/>
      <c r="G187" s="215">
        <v>66.757999999999996</v>
      </c>
      <c r="H187" s="215">
        <v>66.757999999999996</v>
      </c>
      <c r="I187" s="215"/>
      <c r="J187" s="215"/>
    </row>
    <row r="188" spans="1:12" ht="45" x14ac:dyDescent="0.2">
      <c r="A188" s="11" t="s">
        <v>191</v>
      </c>
      <c r="B188" s="12" t="s">
        <v>192</v>
      </c>
      <c r="C188" s="12"/>
      <c r="D188" s="12"/>
      <c r="E188" s="13">
        <v>53450</v>
      </c>
      <c r="F188" s="13">
        <v>58425.5</v>
      </c>
      <c r="G188" s="13">
        <v>6387.9930000000004</v>
      </c>
      <c r="H188" s="13">
        <v>59352.3</v>
      </c>
      <c r="I188" s="13">
        <v>111.04300000000001</v>
      </c>
      <c r="J188" s="13">
        <v>101.586</v>
      </c>
    </row>
    <row r="189" spans="1:12" s="212" customFormat="1" ht="45" x14ac:dyDescent="0.2">
      <c r="A189" s="213" t="s">
        <v>191</v>
      </c>
      <c r="B189" s="214" t="s">
        <v>193</v>
      </c>
      <c r="C189" s="214" t="s">
        <v>23</v>
      </c>
      <c r="D189" s="214" t="s">
        <v>24</v>
      </c>
      <c r="E189" s="215">
        <v>53450</v>
      </c>
      <c r="F189" s="215">
        <v>58425.5</v>
      </c>
      <c r="G189" s="215">
        <v>6387.9930000000004</v>
      </c>
      <c r="H189" s="215">
        <v>59352.3</v>
      </c>
      <c r="I189" s="215">
        <v>111.04300000000001</v>
      </c>
      <c r="J189" s="215">
        <v>101.586</v>
      </c>
      <c r="K189" s="216">
        <f>H189+H191</f>
        <v>60135.596000000005</v>
      </c>
      <c r="L189" s="216">
        <f>K189-'[1]Анализ доходов'!$K$186</f>
        <v>9387.7480000000069</v>
      </c>
    </row>
    <row r="190" spans="1:12" ht="67.5" x14ac:dyDescent="0.2">
      <c r="A190" s="11" t="s">
        <v>194</v>
      </c>
      <c r="B190" s="12" t="s">
        <v>195</v>
      </c>
      <c r="C190" s="12"/>
      <c r="D190" s="12"/>
      <c r="E190" s="13"/>
      <c r="F190" s="13">
        <v>783.29600000000005</v>
      </c>
      <c r="G190" s="13"/>
      <c r="H190" s="13">
        <v>783.29600000000005</v>
      </c>
      <c r="I190" s="13"/>
      <c r="J190" s="13">
        <v>100</v>
      </c>
    </row>
    <row r="191" spans="1:12" s="212" customFormat="1" ht="56.25" x14ac:dyDescent="0.2">
      <c r="A191" s="213" t="s">
        <v>194</v>
      </c>
      <c r="B191" s="214" t="s">
        <v>196</v>
      </c>
      <c r="C191" s="214" t="s">
        <v>23</v>
      </c>
      <c r="D191" s="214" t="s">
        <v>24</v>
      </c>
      <c r="E191" s="215"/>
      <c r="F191" s="215">
        <v>783.29600000000005</v>
      </c>
      <c r="G191" s="215"/>
      <c r="H191" s="215">
        <v>783.29600000000005</v>
      </c>
      <c r="I191" s="215"/>
      <c r="J191" s="215">
        <v>100</v>
      </c>
    </row>
    <row r="192" spans="1:12" ht="22.5" x14ac:dyDescent="0.2">
      <c r="A192" s="11" t="s">
        <v>197</v>
      </c>
      <c r="B192" s="12" t="s">
        <v>198</v>
      </c>
      <c r="C192" s="12"/>
      <c r="D192" s="12"/>
      <c r="E192" s="13"/>
      <c r="F192" s="13">
        <v>5479.1639999999998</v>
      </c>
      <c r="G192" s="13">
        <v>14.363</v>
      </c>
      <c r="H192" s="13">
        <v>5490.527</v>
      </c>
      <c r="I192" s="13"/>
      <c r="J192" s="13">
        <v>100.20699999999999</v>
      </c>
    </row>
    <row r="193" spans="1:12" ht="22.5" x14ac:dyDescent="0.2">
      <c r="A193" s="11" t="s">
        <v>199</v>
      </c>
      <c r="B193" s="12" t="s">
        <v>200</v>
      </c>
      <c r="C193" s="12"/>
      <c r="D193" s="12"/>
      <c r="E193" s="13"/>
      <c r="F193" s="13">
        <v>5479.1639999999998</v>
      </c>
      <c r="G193" s="13">
        <v>14.363</v>
      </c>
      <c r="H193" s="13">
        <v>5490.527</v>
      </c>
      <c r="I193" s="13"/>
      <c r="J193" s="13">
        <v>100.20699999999999</v>
      </c>
    </row>
    <row r="194" spans="1:12" ht="22.5" x14ac:dyDescent="0.2">
      <c r="A194" s="11" t="s">
        <v>201</v>
      </c>
      <c r="B194" s="12" t="s">
        <v>202</v>
      </c>
      <c r="C194" s="12"/>
      <c r="D194" s="12"/>
      <c r="E194" s="13"/>
      <c r="F194" s="13">
        <v>5479.1639999999998</v>
      </c>
      <c r="G194" s="13">
        <v>14.363</v>
      </c>
      <c r="H194" s="13">
        <v>5490.527</v>
      </c>
      <c r="I194" s="13"/>
      <c r="J194" s="13">
        <v>100.20699999999999</v>
      </c>
    </row>
    <row r="195" spans="1:12" ht="33.75" x14ac:dyDescent="0.2">
      <c r="A195" s="11" t="s">
        <v>203</v>
      </c>
      <c r="B195" s="12" t="s">
        <v>204</v>
      </c>
      <c r="C195" s="12"/>
      <c r="D195" s="12"/>
      <c r="E195" s="13"/>
      <c r="F195" s="13">
        <v>5479.1639999999998</v>
      </c>
      <c r="G195" s="13">
        <v>14.363</v>
      </c>
      <c r="H195" s="13">
        <v>5490.527</v>
      </c>
      <c r="I195" s="13"/>
      <c r="J195" s="13">
        <v>100.20699999999999</v>
      </c>
    </row>
    <row r="196" spans="1:12" s="212" customFormat="1" ht="33.75" x14ac:dyDescent="0.2">
      <c r="A196" s="213" t="s">
        <v>203</v>
      </c>
      <c r="B196" s="214" t="s">
        <v>469</v>
      </c>
      <c r="C196" s="214" t="s">
        <v>23</v>
      </c>
      <c r="D196" s="214" t="s">
        <v>24</v>
      </c>
      <c r="E196" s="215"/>
      <c r="F196" s="215">
        <v>325.00200000000001</v>
      </c>
      <c r="G196" s="215">
        <v>6.8869999999999996</v>
      </c>
      <c r="H196" s="215">
        <v>328.88900000000001</v>
      </c>
      <c r="I196" s="215"/>
      <c r="J196" s="215">
        <v>101.196</v>
      </c>
    </row>
    <row r="197" spans="1:12" s="212" customFormat="1" ht="33.75" x14ac:dyDescent="0.2">
      <c r="A197" s="213" t="s">
        <v>203</v>
      </c>
      <c r="B197" s="214" t="s">
        <v>205</v>
      </c>
      <c r="C197" s="214" t="s">
        <v>23</v>
      </c>
      <c r="D197" s="214" t="s">
        <v>24</v>
      </c>
      <c r="E197" s="215"/>
      <c r="F197" s="215">
        <v>4553.3649999999998</v>
      </c>
      <c r="G197" s="215">
        <v>7.476</v>
      </c>
      <c r="H197" s="215">
        <v>4560.8410000000003</v>
      </c>
      <c r="I197" s="215"/>
      <c r="J197" s="215">
        <v>100.164</v>
      </c>
    </row>
    <row r="198" spans="1:12" s="212" customFormat="1" ht="33.75" x14ac:dyDescent="0.2">
      <c r="A198" s="213" t="s">
        <v>203</v>
      </c>
      <c r="B198" s="214" t="s">
        <v>591</v>
      </c>
      <c r="C198" s="214" t="s">
        <v>23</v>
      </c>
      <c r="D198" s="214" t="s">
        <v>24</v>
      </c>
      <c r="E198" s="215"/>
      <c r="F198" s="215">
        <v>403.24900000000002</v>
      </c>
      <c r="G198" s="215"/>
      <c r="H198" s="215">
        <v>403.24900000000002</v>
      </c>
      <c r="I198" s="215"/>
      <c r="J198" s="215">
        <v>100</v>
      </c>
    </row>
    <row r="199" spans="1:12" s="212" customFormat="1" ht="33.75" x14ac:dyDescent="0.2">
      <c r="A199" s="213" t="s">
        <v>203</v>
      </c>
      <c r="B199" s="214" t="s">
        <v>688</v>
      </c>
      <c r="C199" s="214" t="s">
        <v>23</v>
      </c>
      <c r="D199" s="214" t="s">
        <v>24</v>
      </c>
      <c r="E199" s="215"/>
      <c r="F199" s="215">
        <v>23.952000000000002</v>
      </c>
      <c r="G199" s="215"/>
      <c r="H199" s="215">
        <v>23.952000000000002</v>
      </c>
      <c r="I199" s="215"/>
      <c r="J199" s="215">
        <v>100</v>
      </c>
    </row>
    <row r="200" spans="1:12" s="212" customFormat="1" ht="33.75" x14ac:dyDescent="0.2">
      <c r="A200" s="213" t="s">
        <v>203</v>
      </c>
      <c r="B200" s="214" t="s">
        <v>592</v>
      </c>
      <c r="C200" s="214" t="s">
        <v>23</v>
      </c>
      <c r="D200" s="214" t="s">
        <v>24</v>
      </c>
      <c r="E200" s="215"/>
      <c r="F200" s="215">
        <v>173.595</v>
      </c>
      <c r="G200" s="215"/>
      <c r="H200" s="215">
        <v>173.595</v>
      </c>
      <c r="I200" s="215"/>
      <c r="J200" s="215">
        <v>100</v>
      </c>
    </row>
    <row r="201" spans="1:12" ht="33.200000000000003" customHeight="1" x14ac:dyDescent="0.2">
      <c r="A201" s="25" t="s">
        <v>206</v>
      </c>
      <c r="B201" s="26" t="s">
        <v>207</v>
      </c>
      <c r="C201" s="26"/>
      <c r="D201" s="26"/>
      <c r="E201" s="19">
        <v>894</v>
      </c>
      <c r="F201" s="19">
        <v>5513.4920000000002</v>
      </c>
      <c r="G201" s="27">
        <v>37.298000000000002</v>
      </c>
      <c r="H201" s="19">
        <v>5506.0029999999997</v>
      </c>
      <c r="I201" s="19">
        <v>615.88400000000001</v>
      </c>
      <c r="J201" s="19">
        <v>99.864000000000004</v>
      </c>
      <c r="K201" s="211"/>
      <c r="L201" s="20"/>
    </row>
    <row r="202" spans="1:12" ht="67.5" x14ac:dyDescent="0.2">
      <c r="A202" s="14" t="s">
        <v>470</v>
      </c>
      <c r="B202" s="12" t="s">
        <v>471</v>
      </c>
      <c r="C202" s="12"/>
      <c r="D202" s="12"/>
      <c r="E202" s="13"/>
      <c r="F202" s="13">
        <v>72.007000000000005</v>
      </c>
      <c r="G202" s="13"/>
      <c r="H202" s="13">
        <v>72.007000000000005</v>
      </c>
      <c r="I202" s="13"/>
      <c r="J202" s="13">
        <v>100</v>
      </c>
    </row>
    <row r="203" spans="1:12" ht="90" x14ac:dyDescent="0.2">
      <c r="A203" s="14" t="s">
        <v>422</v>
      </c>
      <c r="B203" s="12" t="s">
        <v>472</v>
      </c>
      <c r="C203" s="12"/>
      <c r="D203" s="12"/>
      <c r="E203" s="13"/>
      <c r="F203" s="13">
        <v>72.007000000000005</v>
      </c>
      <c r="G203" s="13"/>
      <c r="H203" s="13">
        <v>72.007000000000005</v>
      </c>
      <c r="I203" s="13"/>
      <c r="J203" s="13">
        <v>100</v>
      </c>
    </row>
    <row r="204" spans="1:12" ht="90" x14ac:dyDescent="0.2">
      <c r="A204" s="14" t="s">
        <v>423</v>
      </c>
      <c r="B204" s="12" t="s">
        <v>424</v>
      </c>
      <c r="C204" s="12"/>
      <c r="D204" s="12"/>
      <c r="E204" s="13"/>
      <c r="F204" s="13">
        <v>72.007000000000005</v>
      </c>
      <c r="G204" s="13"/>
      <c r="H204" s="13">
        <v>72.007000000000005</v>
      </c>
      <c r="I204" s="13"/>
      <c r="J204" s="13">
        <v>100</v>
      </c>
    </row>
    <row r="205" spans="1:12" ht="78.75" x14ac:dyDescent="0.2">
      <c r="A205" s="18" t="s">
        <v>423</v>
      </c>
      <c r="B205" s="16" t="s">
        <v>425</v>
      </c>
      <c r="C205" s="16" t="s">
        <v>23</v>
      </c>
      <c r="D205" s="16" t="s">
        <v>24</v>
      </c>
      <c r="E205" s="17"/>
      <c r="F205" s="17">
        <v>72.007000000000005</v>
      </c>
      <c r="G205" s="17"/>
      <c r="H205" s="17">
        <v>72.007000000000005</v>
      </c>
      <c r="I205" s="17"/>
      <c r="J205" s="17">
        <v>100</v>
      </c>
    </row>
    <row r="206" spans="1:12" ht="33.75" x14ac:dyDescent="0.2">
      <c r="A206" s="11" t="s">
        <v>208</v>
      </c>
      <c r="B206" s="12" t="s">
        <v>209</v>
      </c>
      <c r="C206" s="12"/>
      <c r="D206" s="12"/>
      <c r="E206" s="13">
        <v>894</v>
      </c>
      <c r="F206" s="13">
        <v>5427.5</v>
      </c>
      <c r="G206" s="13">
        <v>31.437000000000001</v>
      </c>
      <c r="H206" s="13">
        <v>5414.1490000000003</v>
      </c>
      <c r="I206" s="13">
        <v>605.61</v>
      </c>
      <c r="J206" s="13">
        <v>99.754000000000005</v>
      </c>
    </row>
    <row r="207" spans="1:12" ht="33.75" x14ac:dyDescent="0.2">
      <c r="A207" s="11" t="s">
        <v>210</v>
      </c>
      <c r="B207" s="12" t="s">
        <v>211</v>
      </c>
      <c r="C207" s="12"/>
      <c r="D207" s="12"/>
      <c r="E207" s="13">
        <v>894</v>
      </c>
      <c r="F207" s="13">
        <v>5061.5</v>
      </c>
      <c r="G207" s="13">
        <v>31.437000000000001</v>
      </c>
      <c r="H207" s="13">
        <v>5048.1679999999997</v>
      </c>
      <c r="I207" s="13">
        <v>564.67200000000003</v>
      </c>
      <c r="J207" s="13">
        <v>99.736999999999995</v>
      </c>
    </row>
    <row r="208" spans="1:12" ht="56.25" x14ac:dyDescent="0.2">
      <c r="A208" s="11" t="s">
        <v>593</v>
      </c>
      <c r="B208" s="12" t="s">
        <v>426</v>
      </c>
      <c r="C208" s="12"/>
      <c r="D208" s="12"/>
      <c r="E208" s="13">
        <v>300</v>
      </c>
      <c r="F208" s="13">
        <v>930</v>
      </c>
      <c r="G208" s="13"/>
      <c r="H208" s="13">
        <v>920.33799999999997</v>
      </c>
      <c r="I208" s="13">
        <v>306.779</v>
      </c>
      <c r="J208" s="13">
        <v>98.960999999999999</v>
      </c>
    </row>
    <row r="209" spans="1:12" ht="56.25" x14ac:dyDescent="0.2">
      <c r="A209" s="15" t="s">
        <v>593</v>
      </c>
      <c r="B209" s="16" t="s">
        <v>427</v>
      </c>
      <c r="C209" s="16" t="s">
        <v>23</v>
      </c>
      <c r="D209" s="16" t="s">
        <v>24</v>
      </c>
      <c r="E209" s="17">
        <v>300</v>
      </c>
      <c r="F209" s="17">
        <v>930</v>
      </c>
      <c r="G209" s="17"/>
      <c r="H209" s="17">
        <v>920.33799999999997</v>
      </c>
      <c r="I209" s="17">
        <v>306.779</v>
      </c>
      <c r="J209" s="17">
        <v>98.960999999999999</v>
      </c>
    </row>
    <row r="210" spans="1:12" ht="45" x14ac:dyDescent="0.2">
      <c r="A210" s="11" t="s">
        <v>212</v>
      </c>
      <c r="B210" s="12" t="s">
        <v>213</v>
      </c>
      <c r="C210" s="12"/>
      <c r="D210" s="12"/>
      <c r="E210" s="13">
        <v>594</v>
      </c>
      <c r="F210" s="13">
        <v>4131.5</v>
      </c>
      <c r="G210" s="13">
        <v>31.437000000000001</v>
      </c>
      <c r="H210" s="13">
        <v>4127.8310000000001</v>
      </c>
      <c r="I210" s="13">
        <v>694.92100000000005</v>
      </c>
      <c r="J210" s="13">
        <v>99.911000000000001</v>
      </c>
    </row>
    <row r="211" spans="1:12" ht="45" x14ac:dyDescent="0.2">
      <c r="A211" s="15" t="s">
        <v>212</v>
      </c>
      <c r="B211" s="16" t="s">
        <v>214</v>
      </c>
      <c r="C211" s="16" t="s">
        <v>23</v>
      </c>
      <c r="D211" s="16" t="s">
        <v>24</v>
      </c>
      <c r="E211" s="17">
        <v>294</v>
      </c>
      <c r="F211" s="17">
        <v>2716.5</v>
      </c>
      <c r="G211" s="17">
        <v>10.936</v>
      </c>
      <c r="H211" s="17">
        <v>2720.5680000000002</v>
      </c>
      <c r="I211" s="17">
        <v>925.36300000000006</v>
      </c>
      <c r="J211" s="17">
        <v>100.15</v>
      </c>
    </row>
    <row r="212" spans="1:12" ht="45" x14ac:dyDescent="0.2">
      <c r="A212" s="15" t="s">
        <v>212</v>
      </c>
      <c r="B212" s="16" t="s">
        <v>215</v>
      </c>
      <c r="C212" s="16" t="s">
        <v>23</v>
      </c>
      <c r="D212" s="16" t="s">
        <v>24</v>
      </c>
      <c r="E212" s="17">
        <v>300</v>
      </c>
      <c r="F212" s="17">
        <v>1415</v>
      </c>
      <c r="G212" s="17">
        <v>20.501000000000001</v>
      </c>
      <c r="H212" s="17">
        <v>1407.2629999999999</v>
      </c>
      <c r="I212" s="17">
        <v>469.08800000000002</v>
      </c>
      <c r="J212" s="17">
        <v>99.453000000000003</v>
      </c>
    </row>
    <row r="213" spans="1:12" ht="45" x14ac:dyDescent="0.2">
      <c r="A213" s="11" t="s">
        <v>738</v>
      </c>
      <c r="B213" s="12" t="s">
        <v>739</v>
      </c>
      <c r="C213" s="12"/>
      <c r="D213" s="12"/>
      <c r="E213" s="13"/>
      <c r="F213" s="13">
        <v>366</v>
      </c>
      <c r="G213" s="13"/>
      <c r="H213" s="13">
        <v>365.98099999999999</v>
      </c>
      <c r="I213" s="13"/>
      <c r="J213" s="13">
        <v>99.995000000000005</v>
      </c>
    </row>
    <row r="214" spans="1:12" ht="56.25" x14ac:dyDescent="0.2">
      <c r="A214" s="11" t="s">
        <v>740</v>
      </c>
      <c r="B214" s="12" t="s">
        <v>741</v>
      </c>
      <c r="C214" s="12"/>
      <c r="D214" s="12"/>
      <c r="E214" s="13"/>
      <c r="F214" s="13">
        <v>366</v>
      </c>
      <c r="G214" s="13"/>
      <c r="H214" s="13">
        <v>365.98099999999999</v>
      </c>
      <c r="I214" s="13"/>
      <c r="J214" s="13">
        <v>99.995000000000005</v>
      </c>
    </row>
    <row r="215" spans="1:12" ht="45" x14ac:dyDescent="0.2">
      <c r="A215" s="15" t="s">
        <v>740</v>
      </c>
      <c r="B215" s="16" t="s">
        <v>742</v>
      </c>
      <c r="C215" s="16" t="s">
        <v>23</v>
      </c>
      <c r="D215" s="16" t="s">
        <v>24</v>
      </c>
      <c r="E215" s="17"/>
      <c r="F215" s="17">
        <v>366</v>
      </c>
      <c r="G215" s="17"/>
      <c r="H215" s="17">
        <v>365.98099999999999</v>
      </c>
      <c r="I215" s="17"/>
      <c r="J215" s="17">
        <v>99.995000000000005</v>
      </c>
    </row>
    <row r="216" spans="1:12" ht="67.5" x14ac:dyDescent="0.2">
      <c r="A216" s="11" t="s">
        <v>473</v>
      </c>
      <c r="B216" s="12" t="s">
        <v>474</v>
      </c>
      <c r="C216" s="12"/>
      <c r="D216" s="12"/>
      <c r="E216" s="13"/>
      <c r="F216" s="13">
        <v>13.984999999999999</v>
      </c>
      <c r="G216" s="13">
        <v>5.8609999999999998</v>
      </c>
      <c r="H216" s="13">
        <v>19.847000000000001</v>
      </c>
      <c r="I216" s="13"/>
      <c r="J216" s="13">
        <v>141.916</v>
      </c>
    </row>
    <row r="217" spans="1:12" ht="56.25" x14ac:dyDescent="0.2">
      <c r="A217" s="11" t="s">
        <v>475</v>
      </c>
      <c r="B217" s="12" t="s">
        <v>476</v>
      </c>
      <c r="C217" s="12"/>
      <c r="D217" s="12"/>
      <c r="E217" s="13"/>
      <c r="F217" s="13">
        <v>13.984999999999999</v>
      </c>
      <c r="G217" s="13">
        <v>5.8609999999999998</v>
      </c>
      <c r="H217" s="13">
        <v>19.847000000000001</v>
      </c>
      <c r="I217" s="13"/>
      <c r="J217" s="13">
        <v>141.916</v>
      </c>
    </row>
    <row r="218" spans="1:12" ht="90" x14ac:dyDescent="0.2">
      <c r="A218" s="14" t="s">
        <v>879</v>
      </c>
      <c r="B218" s="12" t="s">
        <v>1035</v>
      </c>
      <c r="C218" s="12"/>
      <c r="D218" s="12"/>
      <c r="E218" s="13"/>
      <c r="F218" s="13">
        <v>0.89</v>
      </c>
      <c r="G218" s="13"/>
      <c r="H218" s="13">
        <v>0.89100000000000001</v>
      </c>
      <c r="I218" s="13"/>
      <c r="J218" s="13">
        <v>100.101</v>
      </c>
    </row>
    <row r="219" spans="1:12" ht="78.75" x14ac:dyDescent="0.2">
      <c r="A219" s="18" t="s">
        <v>879</v>
      </c>
      <c r="B219" s="16" t="s">
        <v>1036</v>
      </c>
      <c r="C219" s="16" t="s">
        <v>23</v>
      </c>
      <c r="D219" s="16" t="s">
        <v>24</v>
      </c>
      <c r="E219" s="17"/>
      <c r="F219" s="17">
        <v>0.89</v>
      </c>
      <c r="G219" s="17"/>
      <c r="H219" s="17">
        <v>0.89100000000000001</v>
      </c>
      <c r="I219" s="17"/>
      <c r="J219" s="17">
        <v>100.101</v>
      </c>
    </row>
    <row r="220" spans="1:12" ht="78.75" x14ac:dyDescent="0.2">
      <c r="A220" s="14" t="s">
        <v>477</v>
      </c>
      <c r="B220" s="12" t="s">
        <v>478</v>
      </c>
      <c r="C220" s="12"/>
      <c r="D220" s="12"/>
      <c r="E220" s="13"/>
      <c r="F220" s="13">
        <v>13.095000000000001</v>
      </c>
      <c r="G220" s="13">
        <v>5.8609999999999998</v>
      </c>
      <c r="H220" s="13">
        <v>18.956</v>
      </c>
      <c r="I220" s="13"/>
      <c r="J220" s="13">
        <v>144.75800000000001</v>
      </c>
    </row>
    <row r="221" spans="1:12" ht="67.5" x14ac:dyDescent="0.2">
      <c r="A221" s="18" t="s">
        <v>477</v>
      </c>
      <c r="B221" s="16" t="s">
        <v>479</v>
      </c>
      <c r="C221" s="16" t="s">
        <v>23</v>
      </c>
      <c r="D221" s="16" t="s">
        <v>24</v>
      </c>
      <c r="E221" s="17"/>
      <c r="F221" s="17">
        <v>13.095000000000001</v>
      </c>
      <c r="G221" s="17">
        <v>5.8609999999999998</v>
      </c>
      <c r="H221" s="17">
        <v>18.956</v>
      </c>
      <c r="I221" s="17"/>
      <c r="J221" s="17">
        <v>144.75800000000001</v>
      </c>
    </row>
    <row r="222" spans="1:12" ht="33.200000000000003" customHeight="1" x14ac:dyDescent="0.2">
      <c r="A222" s="25" t="s">
        <v>216</v>
      </c>
      <c r="B222" s="26" t="s">
        <v>217</v>
      </c>
      <c r="C222" s="26"/>
      <c r="D222" s="26"/>
      <c r="E222" s="19">
        <v>4684.3</v>
      </c>
      <c r="F222" s="19">
        <v>8903</v>
      </c>
      <c r="G222" s="27">
        <v>402.28</v>
      </c>
      <c r="H222" s="19">
        <v>9020.9609999999993</v>
      </c>
      <c r="I222" s="19">
        <v>192.57900000000001</v>
      </c>
      <c r="J222" s="19">
        <v>101.325</v>
      </c>
      <c r="K222" s="211"/>
      <c r="L222" s="20"/>
    </row>
    <row r="223" spans="1:12" ht="22.5" x14ac:dyDescent="0.2">
      <c r="A223" s="11" t="s">
        <v>218</v>
      </c>
      <c r="B223" s="12" t="s">
        <v>219</v>
      </c>
      <c r="C223" s="12"/>
      <c r="D223" s="12"/>
      <c r="E223" s="13">
        <v>267</v>
      </c>
      <c r="F223" s="13">
        <v>270</v>
      </c>
      <c r="G223" s="13">
        <v>5.093</v>
      </c>
      <c r="H223" s="13">
        <v>177.03200000000001</v>
      </c>
      <c r="I223" s="13">
        <v>66.304000000000002</v>
      </c>
      <c r="J223" s="13">
        <v>65.566999999999993</v>
      </c>
    </row>
    <row r="224" spans="1:12" ht="67.5" x14ac:dyDescent="0.2">
      <c r="A224" s="14" t="s">
        <v>480</v>
      </c>
      <c r="B224" s="12" t="s">
        <v>220</v>
      </c>
      <c r="C224" s="12"/>
      <c r="D224" s="12"/>
      <c r="E224" s="13">
        <v>253</v>
      </c>
      <c r="F224" s="13">
        <v>240</v>
      </c>
      <c r="G224" s="13">
        <v>1.093</v>
      </c>
      <c r="H224" s="13">
        <v>145.209</v>
      </c>
      <c r="I224" s="13">
        <v>57.395000000000003</v>
      </c>
      <c r="J224" s="13">
        <v>60.503999999999998</v>
      </c>
    </row>
    <row r="225" spans="1:10" ht="67.5" x14ac:dyDescent="0.2">
      <c r="A225" s="14" t="s">
        <v>743</v>
      </c>
      <c r="B225" s="12" t="s">
        <v>221</v>
      </c>
      <c r="C225" s="12"/>
      <c r="D225" s="12"/>
      <c r="E225" s="13">
        <v>253</v>
      </c>
      <c r="F225" s="13">
        <v>240</v>
      </c>
      <c r="G225" s="13">
        <v>1.093</v>
      </c>
      <c r="H225" s="13">
        <v>145.209</v>
      </c>
      <c r="I225" s="13">
        <v>57.395000000000003</v>
      </c>
      <c r="J225" s="13">
        <v>60.503999999999998</v>
      </c>
    </row>
    <row r="226" spans="1:10" ht="67.5" x14ac:dyDescent="0.2">
      <c r="A226" s="18" t="s">
        <v>743</v>
      </c>
      <c r="B226" s="16" t="s">
        <v>222</v>
      </c>
      <c r="C226" s="16" t="s">
        <v>23</v>
      </c>
      <c r="D226" s="16" t="s">
        <v>24</v>
      </c>
      <c r="E226" s="17">
        <v>253</v>
      </c>
      <c r="F226" s="17">
        <v>240</v>
      </c>
      <c r="G226" s="17">
        <v>1.093</v>
      </c>
      <c r="H226" s="17">
        <v>145.209</v>
      </c>
      <c r="I226" s="17">
        <v>57.395000000000003</v>
      </c>
      <c r="J226" s="17">
        <v>60.503999999999998</v>
      </c>
    </row>
    <row r="227" spans="1:10" ht="56.25" x14ac:dyDescent="0.2">
      <c r="A227" s="11" t="s">
        <v>223</v>
      </c>
      <c r="B227" s="12" t="s">
        <v>224</v>
      </c>
      <c r="C227" s="12"/>
      <c r="D227" s="12"/>
      <c r="E227" s="13">
        <v>14</v>
      </c>
      <c r="F227" s="13">
        <v>30</v>
      </c>
      <c r="G227" s="13">
        <v>4</v>
      </c>
      <c r="H227" s="13">
        <v>31.823</v>
      </c>
      <c r="I227" s="13">
        <v>227.30500000000001</v>
      </c>
      <c r="J227" s="13">
        <v>106.07599999999999</v>
      </c>
    </row>
    <row r="228" spans="1:10" ht="90" x14ac:dyDescent="0.2">
      <c r="A228" s="14" t="s">
        <v>225</v>
      </c>
      <c r="B228" s="12" t="s">
        <v>226</v>
      </c>
      <c r="C228" s="12"/>
      <c r="D228" s="12"/>
      <c r="E228" s="13">
        <v>14</v>
      </c>
      <c r="F228" s="13">
        <v>30</v>
      </c>
      <c r="G228" s="13">
        <v>4</v>
      </c>
      <c r="H228" s="13">
        <v>31.823</v>
      </c>
      <c r="I228" s="13">
        <v>227.30500000000001</v>
      </c>
      <c r="J228" s="13">
        <v>106.07599999999999</v>
      </c>
    </row>
    <row r="229" spans="1:10" ht="78.75" x14ac:dyDescent="0.2">
      <c r="A229" s="18" t="s">
        <v>225</v>
      </c>
      <c r="B229" s="16" t="s">
        <v>227</v>
      </c>
      <c r="C229" s="16" t="s">
        <v>23</v>
      </c>
      <c r="D229" s="16" t="s">
        <v>24</v>
      </c>
      <c r="E229" s="17">
        <v>14</v>
      </c>
      <c r="F229" s="17">
        <v>30</v>
      </c>
      <c r="G229" s="17">
        <v>4</v>
      </c>
      <c r="H229" s="17">
        <v>31.823</v>
      </c>
      <c r="I229" s="17">
        <v>227.30500000000001</v>
      </c>
      <c r="J229" s="17">
        <v>106.07599999999999</v>
      </c>
    </row>
    <row r="230" spans="1:10" ht="56.25" x14ac:dyDescent="0.2">
      <c r="A230" s="11" t="s">
        <v>228</v>
      </c>
      <c r="B230" s="12" t="s">
        <v>229</v>
      </c>
      <c r="C230" s="12"/>
      <c r="D230" s="12"/>
      <c r="E230" s="13">
        <v>2.2999999999999998</v>
      </c>
      <c r="F230" s="13">
        <v>1.5</v>
      </c>
      <c r="G230" s="13"/>
      <c r="H230" s="13">
        <v>4.5</v>
      </c>
      <c r="I230" s="13">
        <v>195.65199999999999</v>
      </c>
      <c r="J230" s="13">
        <v>300</v>
      </c>
    </row>
    <row r="231" spans="1:10" ht="90" x14ac:dyDescent="0.2">
      <c r="A231" s="14" t="s">
        <v>230</v>
      </c>
      <c r="B231" s="12" t="s">
        <v>231</v>
      </c>
      <c r="C231" s="12"/>
      <c r="D231" s="12"/>
      <c r="E231" s="13">
        <v>2.2999999999999998</v>
      </c>
      <c r="F231" s="13">
        <v>1.5</v>
      </c>
      <c r="G231" s="13"/>
      <c r="H231" s="13">
        <v>4.5</v>
      </c>
      <c r="I231" s="13">
        <v>195.65199999999999</v>
      </c>
      <c r="J231" s="13">
        <v>300</v>
      </c>
    </row>
    <row r="232" spans="1:10" ht="78.75" x14ac:dyDescent="0.2">
      <c r="A232" s="18" t="s">
        <v>230</v>
      </c>
      <c r="B232" s="16" t="s">
        <v>232</v>
      </c>
      <c r="C232" s="16" t="s">
        <v>23</v>
      </c>
      <c r="D232" s="16" t="s">
        <v>24</v>
      </c>
      <c r="E232" s="17">
        <v>2.2999999999999998</v>
      </c>
      <c r="F232" s="17">
        <v>1.5</v>
      </c>
      <c r="G232" s="17"/>
      <c r="H232" s="17">
        <v>4.5</v>
      </c>
      <c r="I232" s="17">
        <v>195.65199999999999</v>
      </c>
      <c r="J232" s="17">
        <v>300</v>
      </c>
    </row>
    <row r="233" spans="1:10" ht="56.25" x14ac:dyDescent="0.2">
      <c r="A233" s="11" t="s">
        <v>233</v>
      </c>
      <c r="B233" s="12" t="s">
        <v>234</v>
      </c>
      <c r="C233" s="12"/>
      <c r="D233" s="12"/>
      <c r="E233" s="13">
        <v>232.3</v>
      </c>
      <c r="F233" s="13">
        <v>42.7</v>
      </c>
      <c r="G233" s="13">
        <v>75</v>
      </c>
      <c r="H233" s="13">
        <v>107</v>
      </c>
      <c r="I233" s="13">
        <v>46.061</v>
      </c>
      <c r="J233" s="13">
        <v>250.58600000000001</v>
      </c>
    </row>
    <row r="234" spans="1:10" ht="56.25" x14ac:dyDescent="0.2">
      <c r="A234" s="11" t="s">
        <v>235</v>
      </c>
      <c r="B234" s="12" t="s">
        <v>236</v>
      </c>
      <c r="C234" s="12"/>
      <c r="D234" s="12"/>
      <c r="E234" s="13">
        <v>199</v>
      </c>
      <c r="F234" s="13">
        <v>24</v>
      </c>
      <c r="G234" s="13">
        <v>70</v>
      </c>
      <c r="H234" s="13">
        <v>88</v>
      </c>
      <c r="I234" s="13">
        <v>44.220999999999997</v>
      </c>
      <c r="J234" s="13">
        <v>366.66699999999997</v>
      </c>
    </row>
    <row r="235" spans="1:10" ht="90" x14ac:dyDescent="0.2">
      <c r="A235" s="14" t="s">
        <v>237</v>
      </c>
      <c r="B235" s="12" t="s">
        <v>238</v>
      </c>
      <c r="C235" s="12"/>
      <c r="D235" s="12"/>
      <c r="E235" s="13">
        <v>199</v>
      </c>
      <c r="F235" s="13">
        <v>24</v>
      </c>
      <c r="G235" s="13">
        <v>70</v>
      </c>
      <c r="H235" s="13">
        <v>88</v>
      </c>
      <c r="I235" s="13">
        <v>44.220999999999997</v>
      </c>
      <c r="J235" s="13">
        <v>366.66699999999997</v>
      </c>
    </row>
    <row r="236" spans="1:10" ht="78.75" x14ac:dyDescent="0.2">
      <c r="A236" s="18" t="s">
        <v>237</v>
      </c>
      <c r="B236" s="16" t="s">
        <v>689</v>
      </c>
      <c r="C236" s="16" t="s">
        <v>23</v>
      </c>
      <c r="D236" s="16" t="s">
        <v>24</v>
      </c>
      <c r="E236" s="17">
        <v>199</v>
      </c>
      <c r="F236" s="17">
        <v>24</v>
      </c>
      <c r="G236" s="17">
        <v>70</v>
      </c>
      <c r="H236" s="17">
        <v>88</v>
      </c>
      <c r="I236" s="17">
        <v>44.220999999999997</v>
      </c>
      <c r="J236" s="17">
        <v>366.66699999999997</v>
      </c>
    </row>
    <row r="237" spans="1:10" ht="45" x14ac:dyDescent="0.2">
      <c r="A237" s="11" t="s">
        <v>239</v>
      </c>
      <c r="B237" s="12" t="s">
        <v>690</v>
      </c>
      <c r="C237" s="12"/>
      <c r="D237" s="12"/>
      <c r="E237" s="13">
        <v>33.299999999999997</v>
      </c>
      <c r="F237" s="13">
        <v>18.7</v>
      </c>
      <c r="G237" s="13">
        <v>5</v>
      </c>
      <c r="H237" s="13">
        <v>19</v>
      </c>
      <c r="I237" s="13">
        <v>57.057000000000002</v>
      </c>
      <c r="J237" s="13">
        <v>101.604</v>
      </c>
    </row>
    <row r="238" spans="1:10" ht="78.75" x14ac:dyDescent="0.2">
      <c r="A238" s="14" t="s">
        <v>481</v>
      </c>
      <c r="B238" s="12" t="s">
        <v>482</v>
      </c>
      <c r="C238" s="12"/>
      <c r="D238" s="12"/>
      <c r="E238" s="13">
        <v>33.299999999999997</v>
      </c>
      <c r="F238" s="13">
        <v>18.7</v>
      </c>
      <c r="G238" s="13">
        <v>5</v>
      </c>
      <c r="H238" s="13">
        <v>19</v>
      </c>
      <c r="I238" s="13">
        <v>57.057000000000002</v>
      </c>
      <c r="J238" s="13">
        <v>101.604</v>
      </c>
    </row>
    <row r="239" spans="1:10" ht="67.5" x14ac:dyDescent="0.2">
      <c r="A239" s="18" t="s">
        <v>481</v>
      </c>
      <c r="B239" s="16" t="s">
        <v>594</v>
      </c>
      <c r="C239" s="16" t="s">
        <v>23</v>
      </c>
      <c r="D239" s="16" t="s">
        <v>24</v>
      </c>
      <c r="E239" s="17">
        <v>33.299999999999997</v>
      </c>
      <c r="F239" s="17">
        <v>18.7</v>
      </c>
      <c r="G239" s="17">
        <v>5</v>
      </c>
      <c r="H239" s="17">
        <v>19</v>
      </c>
      <c r="I239" s="17">
        <v>57.057000000000002</v>
      </c>
      <c r="J239" s="17">
        <v>101.604</v>
      </c>
    </row>
    <row r="240" spans="1:10" ht="101.25" x14ac:dyDescent="0.2">
      <c r="A240" s="14" t="s">
        <v>240</v>
      </c>
      <c r="B240" s="12" t="s">
        <v>241</v>
      </c>
      <c r="C240" s="12"/>
      <c r="D240" s="12"/>
      <c r="E240" s="13">
        <v>197.4</v>
      </c>
      <c r="F240" s="13">
        <v>106.5</v>
      </c>
      <c r="G240" s="13">
        <v>8.58</v>
      </c>
      <c r="H240" s="13">
        <v>133.54400000000001</v>
      </c>
      <c r="I240" s="13">
        <v>67.652000000000001</v>
      </c>
      <c r="J240" s="13">
        <v>125.393</v>
      </c>
    </row>
    <row r="241" spans="1:10" ht="33.75" x14ac:dyDescent="0.2">
      <c r="A241" s="11" t="s">
        <v>242</v>
      </c>
      <c r="B241" s="12" t="s">
        <v>243</v>
      </c>
      <c r="C241" s="12"/>
      <c r="D241" s="12"/>
      <c r="E241" s="13">
        <v>70</v>
      </c>
      <c r="F241" s="13">
        <v>65</v>
      </c>
      <c r="G241" s="13">
        <v>8.58</v>
      </c>
      <c r="H241" s="13">
        <v>132.04400000000001</v>
      </c>
      <c r="I241" s="13">
        <v>188.63399999999999</v>
      </c>
      <c r="J241" s="13">
        <v>203.14500000000001</v>
      </c>
    </row>
    <row r="242" spans="1:10" ht="33.75" x14ac:dyDescent="0.2">
      <c r="A242" s="15" t="s">
        <v>242</v>
      </c>
      <c r="B242" s="16" t="s">
        <v>691</v>
      </c>
      <c r="C242" s="16" t="s">
        <v>23</v>
      </c>
      <c r="D242" s="16" t="s">
        <v>24</v>
      </c>
      <c r="E242" s="17"/>
      <c r="F242" s="17">
        <v>65</v>
      </c>
      <c r="G242" s="17">
        <v>8.58</v>
      </c>
      <c r="H242" s="17">
        <v>69.043999999999997</v>
      </c>
      <c r="I242" s="17"/>
      <c r="J242" s="17">
        <v>106.22199999999999</v>
      </c>
    </row>
    <row r="243" spans="1:10" ht="67.5" x14ac:dyDescent="0.2">
      <c r="A243" s="11" t="s">
        <v>692</v>
      </c>
      <c r="B243" s="12" t="s">
        <v>693</v>
      </c>
      <c r="C243" s="12"/>
      <c r="D243" s="12"/>
      <c r="E243" s="13">
        <v>70</v>
      </c>
      <c r="F243" s="13"/>
      <c r="G243" s="13"/>
      <c r="H243" s="13">
        <v>63</v>
      </c>
      <c r="I243" s="13">
        <v>90</v>
      </c>
      <c r="J243" s="13"/>
    </row>
    <row r="244" spans="1:10" ht="67.5" x14ac:dyDescent="0.2">
      <c r="A244" s="15" t="s">
        <v>692</v>
      </c>
      <c r="B244" s="16" t="s">
        <v>694</v>
      </c>
      <c r="C244" s="16" t="s">
        <v>23</v>
      </c>
      <c r="D244" s="16" t="s">
        <v>24</v>
      </c>
      <c r="E244" s="17"/>
      <c r="F244" s="17"/>
      <c r="G244" s="17"/>
      <c r="H244" s="17">
        <v>63</v>
      </c>
      <c r="I244" s="17"/>
      <c r="J244" s="17"/>
    </row>
    <row r="245" spans="1:10" ht="67.5" x14ac:dyDescent="0.2">
      <c r="A245" s="15" t="s">
        <v>692</v>
      </c>
      <c r="B245" s="16" t="s">
        <v>744</v>
      </c>
      <c r="C245" s="16" t="s">
        <v>23</v>
      </c>
      <c r="D245" s="16" t="s">
        <v>24</v>
      </c>
      <c r="E245" s="17">
        <v>70</v>
      </c>
      <c r="F245" s="17"/>
      <c r="G245" s="17"/>
      <c r="H245" s="17"/>
      <c r="I245" s="17"/>
      <c r="J245" s="17"/>
    </row>
    <row r="246" spans="1:10" ht="33.75" x14ac:dyDescent="0.2">
      <c r="A246" s="11" t="s">
        <v>244</v>
      </c>
      <c r="B246" s="12" t="s">
        <v>245</v>
      </c>
      <c r="C246" s="12"/>
      <c r="D246" s="12"/>
      <c r="E246" s="13">
        <v>47.4</v>
      </c>
      <c r="F246" s="13">
        <v>1.5</v>
      </c>
      <c r="G246" s="13"/>
      <c r="H246" s="13">
        <v>1.5</v>
      </c>
      <c r="I246" s="13">
        <v>3.165</v>
      </c>
      <c r="J246" s="13">
        <v>100</v>
      </c>
    </row>
    <row r="247" spans="1:10" ht="56.25" x14ac:dyDescent="0.2">
      <c r="A247" s="11" t="s">
        <v>246</v>
      </c>
      <c r="B247" s="12" t="s">
        <v>247</v>
      </c>
      <c r="C247" s="12"/>
      <c r="D247" s="12"/>
      <c r="E247" s="13">
        <v>47.4</v>
      </c>
      <c r="F247" s="13">
        <v>1.5</v>
      </c>
      <c r="G247" s="13"/>
      <c r="H247" s="13">
        <v>1.5</v>
      </c>
      <c r="I247" s="13">
        <v>3.165</v>
      </c>
      <c r="J247" s="13">
        <v>100</v>
      </c>
    </row>
    <row r="248" spans="1:10" ht="56.25" x14ac:dyDescent="0.2">
      <c r="A248" s="15" t="s">
        <v>246</v>
      </c>
      <c r="B248" s="16" t="s">
        <v>248</v>
      </c>
      <c r="C248" s="16" t="s">
        <v>23</v>
      </c>
      <c r="D248" s="16" t="s">
        <v>24</v>
      </c>
      <c r="E248" s="17">
        <v>47.4</v>
      </c>
      <c r="F248" s="17">
        <v>1.5</v>
      </c>
      <c r="G248" s="17"/>
      <c r="H248" s="17">
        <v>1.5</v>
      </c>
      <c r="I248" s="17">
        <v>3.165</v>
      </c>
      <c r="J248" s="17">
        <v>100</v>
      </c>
    </row>
    <row r="249" spans="1:10" ht="22.5" x14ac:dyDescent="0.2">
      <c r="A249" s="11" t="s">
        <v>249</v>
      </c>
      <c r="B249" s="12" t="s">
        <v>250</v>
      </c>
      <c r="C249" s="12"/>
      <c r="D249" s="12"/>
      <c r="E249" s="13">
        <v>80</v>
      </c>
      <c r="F249" s="13">
        <v>10</v>
      </c>
      <c r="G249" s="13"/>
      <c r="H249" s="13"/>
      <c r="I249" s="13"/>
      <c r="J249" s="13"/>
    </row>
    <row r="250" spans="1:10" ht="56.25" x14ac:dyDescent="0.2">
      <c r="A250" s="11" t="s">
        <v>251</v>
      </c>
      <c r="B250" s="12" t="s">
        <v>252</v>
      </c>
      <c r="C250" s="12"/>
      <c r="D250" s="12"/>
      <c r="E250" s="13">
        <v>80</v>
      </c>
      <c r="F250" s="13">
        <v>10</v>
      </c>
      <c r="G250" s="13"/>
      <c r="H250" s="13"/>
      <c r="I250" s="13"/>
      <c r="J250" s="13"/>
    </row>
    <row r="251" spans="1:10" ht="56.25" x14ac:dyDescent="0.2">
      <c r="A251" s="15" t="s">
        <v>251</v>
      </c>
      <c r="B251" s="16" t="s">
        <v>695</v>
      </c>
      <c r="C251" s="16" t="s">
        <v>23</v>
      </c>
      <c r="D251" s="16" t="s">
        <v>24</v>
      </c>
      <c r="E251" s="17">
        <v>70</v>
      </c>
      <c r="F251" s="17"/>
      <c r="G251" s="17"/>
      <c r="H251" s="17"/>
      <c r="I251" s="17"/>
      <c r="J251" s="17"/>
    </row>
    <row r="252" spans="1:10" ht="56.25" x14ac:dyDescent="0.2">
      <c r="A252" s="15" t="s">
        <v>251</v>
      </c>
      <c r="B252" s="16" t="s">
        <v>253</v>
      </c>
      <c r="C252" s="16" t="s">
        <v>23</v>
      </c>
      <c r="D252" s="16" t="s">
        <v>24</v>
      </c>
      <c r="E252" s="17">
        <v>10</v>
      </c>
      <c r="F252" s="17">
        <v>10</v>
      </c>
      <c r="G252" s="17"/>
      <c r="H252" s="17"/>
      <c r="I252" s="17"/>
      <c r="J252" s="17"/>
    </row>
    <row r="253" spans="1:10" ht="22.5" x14ac:dyDescent="0.2">
      <c r="A253" s="11" t="s">
        <v>745</v>
      </c>
      <c r="B253" s="12" t="s">
        <v>746</v>
      </c>
      <c r="C253" s="12"/>
      <c r="D253" s="12"/>
      <c r="E253" s="13"/>
      <c r="F253" s="13">
        <v>30</v>
      </c>
      <c r="G253" s="13"/>
      <c r="H253" s="13"/>
      <c r="I253" s="13"/>
      <c r="J253" s="13"/>
    </row>
    <row r="254" spans="1:10" ht="45" x14ac:dyDescent="0.2">
      <c r="A254" s="11" t="s">
        <v>747</v>
      </c>
      <c r="B254" s="12" t="s">
        <v>748</v>
      </c>
      <c r="C254" s="12"/>
      <c r="D254" s="12"/>
      <c r="E254" s="13"/>
      <c r="F254" s="13">
        <v>30</v>
      </c>
      <c r="G254" s="13"/>
      <c r="H254" s="13"/>
      <c r="I254" s="13"/>
      <c r="J254" s="13"/>
    </row>
    <row r="255" spans="1:10" ht="67.5" x14ac:dyDescent="0.2">
      <c r="A255" s="14" t="s">
        <v>749</v>
      </c>
      <c r="B255" s="12" t="s">
        <v>750</v>
      </c>
      <c r="C255" s="12"/>
      <c r="D255" s="12"/>
      <c r="E255" s="13"/>
      <c r="F255" s="13">
        <v>30</v>
      </c>
      <c r="G255" s="13"/>
      <c r="H255" s="13"/>
      <c r="I255" s="13"/>
      <c r="J255" s="13"/>
    </row>
    <row r="256" spans="1:10" ht="67.5" x14ac:dyDescent="0.2">
      <c r="A256" s="18" t="s">
        <v>749</v>
      </c>
      <c r="B256" s="16" t="s">
        <v>751</v>
      </c>
      <c r="C256" s="16" t="s">
        <v>23</v>
      </c>
      <c r="D256" s="16" t="s">
        <v>24</v>
      </c>
      <c r="E256" s="17"/>
      <c r="F256" s="17">
        <v>30</v>
      </c>
      <c r="G256" s="17"/>
      <c r="H256" s="17"/>
      <c r="I256" s="17"/>
      <c r="J256" s="17"/>
    </row>
    <row r="257" spans="1:10" ht="56.25" x14ac:dyDescent="0.2">
      <c r="A257" s="11" t="s">
        <v>254</v>
      </c>
      <c r="B257" s="12" t="s">
        <v>255</v>
      </c>
      <c r="C257" s="12"/>
      <c r="D257" s="12"/>
      <c r="E257" s="13">
        <v>631.20000000000005</v>
      </c>
      <c r="F257" s="13">
        <v>1044.5999999999999</v>
      </c>
      <c r="G257" s="13">
        <v>37.325000000000003</v>
      </c>
      <c r="H257" s="13">
        <v>940.2</v>
      </c>
      <c r="I257" s="13">
        <v>148.95400000000001</v>
      </c>
      <c r="J257" s="13">
        <v>90.006</v>
      </c>
    </row>
    <row r="258" spans="1:10" ht="90" x14ac:dyDescent="0.2">
      <c r="A258" s="14" t="s">
        <v>256</v>
      </c>
      <c r="B258" s="12" t="s">
        <v>257</v>
      </c>
      <c r="C258" s="12"/>
      <c r="D258" s="12"/>
      <c r="E258" s="13">
        <v>631.20000000000005</v>
      </c>
      <c r="F258" s="13">
        <v>1044.5999999999999</v>
      </c>
      <c r="G258" s="13">
        <v>37.325000000000003</v>
      </c>
      <c r="H258" s="13">
        <v>940.2</v>
      </c>
      <c r="I258" s="13">
        <v>148.95400000000001</v>
      </c>
      <c r="J258" s="13">
        <v>90.006</v>
      </c>
    </row>
    <row r="259" spans="1:10" ht="78.75" x14ac:dyDescent="0.2">
      <c r="A259" s="18" t="s">
        <v>256</v>
      </c>
      <c r="B259" s="16" t="s">
        <v>258</v>
      </c>
      <c r="C259" s="16" t="s">
        <v>23</v>
      </c>
      <c r="D259" s="16" t="s">
        <v>24</v>
      </c>
      <c r="E259" s="17">
        <v>614.20000000000005</v>
      </c>
      <c r="F259" s="17">
        <v>976.1</v>
      </c>
      <c r="G259" s="17">
        <v>28</v>
      </c>
      <c r="H259" s="17">
        <v>869.10500000000002</v>
      </c>
      <c r="I259" s="17">
        <v>141.50200000000001</v>
      </c>
      <c r="J259" s="17">
        <v>89.039000000000001</v>
      </c>
    </row>
    <row r="260" spans="1:10" ht="78.75" x14ac:dyDescent="0.2">
      <c r="A260" s="18" t="s">
        <v>256</v>
      </c>
      <c r="B260" s="16" t="s">
        <v>752</v>
      </c>
      <c r="C260" s="16" t="s">
        <v>23</v>
      </c>
      <c r="D260" s="16" t="s">
        <v>24</v>
      </c>
      <c r="E260" s="17"/>
      <c r="F260" s="17">
        <v>0.5</v>
      </c>
      <c r="G260" s="17"/>
      <c r="H260" s="17">
        <v>0.5</v>
      </c>
      <c r="I260" s="17"/>
      <c r="J260" s="17">
        <v>100</v>
      </c>
    </row>
    <row r="261" spans="1:10" ht="78.75" x14ac:dyDescent="0.2">
      <c r="A261" s="18" t="s">
        <v>256</v>
      </c>
      <c r="B261" s="16" t="s">
        <v>259</v>
      </c>
      <c r="C261" s="16" t="s">
        <v>23</v>
      </c>
      <c r="D261" s="16" t="s">
        <v>24</v>
      </c>
      <c r="E261" s="17">
        <v>17</v>
      </c>
      <c r="F261" s="17">
        <v>68</v>
      </c>
      <c r="G261" s="17">
        <v>9.3249999999999993</v>
      </c>
      <c r="H261" s="17">
        <v>70.594999999999999</v>
      </c>
      <c r="I261" s="17">
        <v>415.26400000000001</v>
      </c>
      <c r="J261" s="17">
        <v>103.816</v>
      </c>
    </row>
    <row r="262" spans="1:10" ht="22.5" x14ac:dyDescent="0.2">
      <c r="A262" s="11" t="s">
        <v>260</v>
      </c>
      <c r="B262" s="12" t="s">
        <v>261</v>
      </c>
      <c r="C262" s="12"/>
      <c r="D262" s="12"/>
      <c r="E262" s="13">
        <v>185.3</v>
      </c>
      <c r="F262" s="13">
        <v>515.29999999999995</v>
      </c>
      <c r="G262" s="13">
        <v>17.5</v>
      </c>
      <c r="H262" s="13">
        <v>420.39299999999997</v>
      </c>
      <c r="I262" s="13">
        <v>226.87100000000001</v>
      </c>
      <c r="J262" s="13">
        <v>81.581999999999994</v>
      </c>
    </row>
    <row r="263" spans="1:10" ht="45" x14ac:dyDescent="0.2">
      <c r="A263" s="11" t="s">
        <v>262</v>
      </c>
      <c r="B263" s="12" t="s">
        <v>263</v>
      </c>
      <c r="C263" s="12"/>
      <c r="D263" s="12"/>
      <c r="E263" s="13">
        <v>15.3</v>
      </c>
      <c r="F263" s="13">
        <v>28</v>
      </c>
      <c r="G263" s="13">
        <v>5</v>
      </c>
      <c r="H263" s="13">
        <v>33</v>
      </c>
      <c r="I263" s="13">
        <v>215.68600000000001</v>
      </c>
      <c r="J263" s="13">
        <v>117.857</v>
      </c>
    </row>
    <row r="264" spans="1:10" ht="56.25" x14ac:dyDescent="0.2">
      <c r="A264" s="11" t="s">
        <v>264</v>
      </c>
      <c r="B264" s="12" t="s">
        <v>265</v>
      </c>
      <c r="C264" s="12"/>
      <c r="D264" s="12"/>
      <c r="E264" s="13">
        <v>15.3</v>
      </c>
      <c r="F264" s="13">
        <v>28</v>
      </c>
      <c r="G264" s="13">
        <v>5</v>
      </c>
      <c r="H264" s="13">
        <v>33</v>
      </c>
      <c r="I264" s="13">
        <v>215.68600000000001</v>
      </c>
      <c r="J264" s="13">
        <v>117.857</v>
      </c>
    </row>
    <row r="265" spans="1:10" ht="90" x14ac:dyDescent="0.2">
      <c r="A265" s="14" t="s">
        <v>266</v>
      </c>
      <c r="B265" s="12" t="s">
        <v>267</v>
      </c>
      <c r="C265" s="12"/>
      <c r="D265" s="12"/>
      <c r="E265" s="13">
        <v>15.3</v>
      </c>
      <c r="F265" s="13">
        <v>28</v>
      </c>
      <c r="G265" s="13">
        <v>5</v>
      </c>
      <c r="H265" s="13">
        <v>33</v>
      </c>
      <c r="I265" s="13">
        <v>215.68600000000001</v>
      </c>
      <c r="J265" s="13">
        <v>117.857</v>
      </c>
    </row>
    <row r="266" spans="1:10" ht="78.75" x14ac:dyDescent="0.2">
      <c r="A266" s="18" t="s">
        <v>266</v>
      </c>
      <c r="B266" s="16" t="s">
        <v>268</v>
      </c>
      <c r="C266" s="16" t="s">
        <v>23</v>
      </c>
      <c r="D266" s="16" t="s">
        <v>24</v>
      </c>
      <c r="E266" s="17">
        <v>15.3</v>
      </c>
      <c r="F266" s="17">
        <v>28</v>
      </c>
      <c r="G266" s="17">
        <v>5</v>
      </c>
      <c r="H266" s="17">
        <v>33</v>
      </c>
      <c r="I266" s="17">
        <v>215.68600000000001</v>
      </c>
      <c r="J266" s="17">
        <v>117.857</v>
      </c>
    </row>
    <row r="267" spans="1:10" ht="22.5" x14ac:dyDescent="0.2">
      <c r="A267" s="11" t="s">
        <v>269</v>
      </c>
      <c r="B267" s="12" t="s">
        <v>270</v>
      </c>
      <c r="C267" s="12"/>
      <c r="D267" s="12"/>
      <c r="E267" s="13">
        <v>170</v>
      </c>
      <c r="F267" s="13">
        <v>487.3</v>
      </c>
      <c r="G267" s="13">
        <v>12.5</v>
      </c>
      <c r="H267" s="13">
        <v>387.39299999999997</v>
      </c>
      <c r="I267" s="13">
        <v>227.87799999999999</v>
      </c>
      <c r="J267" s="13">
        <v>79.498000000000005</v>
      </c>
    </row>
    <row r="268" spans="1:10" ht="56.25" x14ac:dyDescent="0.2">
      <c r="A268" s="11" t="s">
        <v>271</v>
      </c>
      <c r="B268" s="12" t="s">
        <v>272</v>
      </c>
      <c r="C268" s="12"/>
      <c r="D268" s="12"/>
      <c r="E268" s="13">
        <v>170</v>
      </c>
      <c r="F268" s="13">
        <v>487.3</v>
      </c>
      <c r="G268" s="13">
        <v>12.5</v>
      </c>
      <c r="H268" s="13">
        <v>387.39299999999997</v>
      </c>
      <c r="I268" s="13">
        <v>227.87799999999999</v>
      </c>
      <c r="J268" s="13">
        <v>79.498000000000005</v>
      </c>
    </row>
    <row r="269" spans="1:10" ht="56.25" x14ac:dyDescent="0.2">
      <c r="A269" s="15" t="s">
        <v>271</v>
      </c>
      <c r="B269" s="16" t="s">
        <v>273</v>
      </c>
      <c r="C269" s="16" t="s">
        <v>23</v>
      </c>
      <c r="D269" s="16" t="s">
        <v>24</v>
      </c>
      <c r="E269" s="17">
        <v>170</v>
      </c>
      <c r="F269" s="17">
        <v>487.3</v>
      </c>
      <c r="G269" s="17">
        <v>12.5</v>
      </c>
      <c r="H269" s="17">
        <v>387.39299999999997</v>
      </c>
      <c r="I269" s="17">
        <v>227.87799999999999</v>
      </c>
      <c r="J269" s="17">
        <v>79.498000000000005</v>
      </c>
    </row>
    <row r="270" spans="1:10" ht="56.25" x14ac:dyDescent="0.2">
      <c r="A270" s="11" t="s">
        <v>274</v>
      </c>
      <c r="B270" s="12" t="s">
        <v>275</v>
      </c>
      <c r="C270" s="12"/>
      <c r="D270" s="12"/>
      <c r="E270" s="13">
        <v>31.3</v>
      </c>
      <c r="F270" s="13">
        <v>31.3</v>
      </c>
      <c r="G270" s="13"/>
      <c r="H270" s="13">
        <v>126.417</v>
      </c>
      <c r="I270" s="13">
        <v>403.887</v>
      </c>
      <c r="J270" s="13">
        <v>403.887</v>
      </c>
    </row>
    <row r="271" spans="1:10" ht="67.5" x14ac:dyDescent="0.2">
      <c r="A271" s="11" t="s">
        <v>276</v>
      </c>
      <c r="B271" s="12" t="s">
        <v>277</v>
      </c>
      <c r="C271" s="12"/>
      <c r="D271" s="12"/>
      <c r="E271" s="13">
        <v>31.3</v>
      </c>
      <c r="F271" s="13">
        <v>31.3</v>
      </c>
      <c r="G271" s="13"/>
      <c r="H271" s="13">
        <v>126.417</v>
      </c>
      <c r="I271" s="13">
        <v>403.887</v>
      </c>
      <c r="J271" s="13">
        <v>403.887</v>
      </c>
    </row>
    <row r="272" spans="1:10" ht="56.25" x14ac:dyDescent="0.2">
      <c r="A272" s="15" t="s">
        <v>276</v>
      </c>
      <c r="B272" s="16" t="s">
        <v>278</v>
      </c>
      <c r="C272" s="16" t="s">
        <v>23</v>
      </c>
      <c r="D272" s="16" t="s">
        <v>24</v>
      </c>
      <c r="E272" s="17">
        <v>31.3</v>
      </c>
      <c r="F272" s="17">
        <v>31.3</v>
      </c>
      <c r="G272" s="17"/>
      <c r="H272" s="17"/>
      <c r="I272" s="17"/>
      <c r="J272" s="17"/>
    </row>
    <row r="273" spans="1:10" ht="56.25" x14ac:dyDescent="0.2">
      <c r="A273" s="15" t="s">
        <v>276</v>
      </c>
      <c r="B273" s="16" t="s">
        <v>595</v>
      </c>
      <c r="C273" s="16" t="s">
        <v>23</v>
      </c>
      <c r="D273" s="16" t="s">
        <v>24</v>
      </c>
      <c r="E273" s="17"/>
      <c r="F273" s="17"/>
      <c r="G273" s="17"/>
      <c r="H273" s="17">
        <v>120.417</v>
      </c>
      <c r="I273" s="17"/>
      <c r="J273" s="17"/>
    </row>
    <row r="274" spans="1:10" ht="90" x14ac:dyDescent="0.2">
      <c r="A274" s="14" t="s">
        <v>1037</v>
      </c>
      <c r="B274" s="12" t="s">
        <v>1038</v>
      </c>
      <c r="C274" s="12"/>
      <c r="D274" s="12"/>
      <c r="E274" s="13"/>
      <c r="F274" s="13"/>
      <c r="G274" s="13"/>
      <c r="H274" s="13">
        <v>6</v>
      </c>
      <c r="I274" s="13"/>
      <c r="J274" s="13"/>
    </row>
    <row r="275" spans="1:10" ht="90" x14ac:dyDescent="0.2">
      <c r="A275" s="18" t="s">
        <v>1037</v>
      </c>
      <c r="B275" s="16" t="s">
        <v>1039</v>
      </c>
      <c r="C275" s="16" t="s">
        <v>23</v>
      </c>
      <c r="D275" s="16" t="s">
        <v>24</v>
      </c>
      <c r="E275" s="17"/>
      <c r="F275" s="17"/>
      <c r="G275" s="17"/>
      <c r="H275" s="17">
        <v>6</v>
      </c>
      <c r="I275" s="17"/>
      <c r="J275" s="17"/>
    </row>
    <row r="276" spans="1:10" ht="22.5" x14ac:dyDescent="0.2">
      <c r="A276" s="11" t="s">
        <v>279</v>
      </c>
      <c r="B276" s="12" t="s">
        <v>280</v>
      </c>
      <c r="C276" s="12"/>
      <c r="D276" s="12"/>
      <c r="E276" s="13">
        <v>20</v>
      </c>
      <c r="F276" s="13">
        <v>229.4</v>
      </c>
      <c r="G276" s="13">
        <v>0.15</v>
      </c>
      <c r="H276" s="13">
        <v>227.45599999999999</v>
      </c>
      <c r="I276" s="13">
        <v>1137.278</v>
      </c>
      <c r="J276" s="13">
        <v>99.152000000000001</v>
      </c>
    </row>
    <row r="277" spans="1:10" ht="33.75" x14ac:dyDescent="0.2">
      <c r="A277" s="11" t="s">
        <v>281</v>
      </c>
      <c r="B277" s="12" t="s">
        <v>282</v>
      </c>
      <c r="C277" s="12"/>
      <c r="D277" s="12"/>
      <c r="E277" s="13">
        <v>20</v>
      </c>
      <c r="F277" s="13">
        <v>229.4</v>
      </c>
      <c r="G277" s="13">
        <v>0.15</v>
      </c>
      <c r="H277" s="13">
        <v>227.45599999999999</v>
      </c>
      <c r="I277" s="13">
        <v>1137.278</v>
      </c>
      <c r="J277" s="13">
        <v>99.152000000000001</v>
      </c>
    </row>
    <row r="278" spans="1:10" ht="33.75" x14ac:dyDescent="0.2">
      <c r="A278" s="15" t="s">
        <v>281</v>
      </c>
      <c r="B278" s="16" t="s">
        <v>753</v>
      </c>
      <c r="C278" s="16" t="s">
        <v>23</v>
      </c>
      <c r="D278" s="16" t="s">
        <v>24</v>
      </c>
      <c r="E278" s="17"/>
      <c r="F278" s="17">
        <v>0.4</v>
      </c>
      <c r="G278" s="17">
        <v>0.15</v>
      </c>
      <c r="H278" s="17">
        <v>0.55000000000000004</v>
      </c>
      <c r="I278" s="17"/>
      <c r="J278" s="17">
        <v>137.5</v>
      </c>
    </row>
    <row r="279" spans="1:10" ht="67.5" x14ac:dyDescent="0.2">
      <c r="A279" s="11" t="s">
        <v>283</v>
      </c>
      <c r="B279" s="12" t="s">
        <v>284</v>
      </c>
      <c r="C279" s="12"/>
      <c r="D279" s="12"/>
      <c r="E279" s="13">
        <v>20</v>
      </c>
      <c r="F279" s="13">
        <v>229</v>
      </c>
      <c r="G279" s="13"/>
      <c r="H279" s="13">
        <v>226.90600000000001</v>
      </c>
      <c r="I279" s="13">
        <v>1134.528</v>
      </c>
      <c r="J279" s="13">
        <v>99.084999999999994</v>
      </c>
    </row>
    <row r="280" spans="1:10" ht="67.5" x14ac:dyDescent="0.2">
      <c r="A280" s="15" t="s">
        <v>283</v>
      </c>
      <c r="B280" s="16" t="s">
        <v>285</v>
      </c>
      <c r="C280" s="16" t="s">
        <v>23</v>
      </c>
      <c r="D280" s="16" t="s">
        <v>24</v>
      </c>
      <c r="E280" s="17">
        <v>20</v>
      </c>
      <c r="F280" s="17">
        <v>229</v>
      </c>
      <c r="G280" s="17"/>
      <c r="H280" s="17">
        <v>226.90600000000001</v>
      </c>
      <c r="I280" s="17">
        <v>1134.528</v>
      </c>
      <c r="J280" s="17">
        <v>99.084999999999994</v>
      </c>
    </row>
    <row r="281" spans="1:10" ht="56.25" x14ac:dyDescent="0.2">
      <c r="A281" s="11" t="s">
        <v>286</v>
      </c>
      <c r="B281" s="12" t="s">
        <v>287</v>
      </c>
      <c r="C281" s="12"/>
      <c r="D281" s="12"/>
      <c r="E281" s="13">
        <v>406.8</v>
      </c>
      <c r="F281" s="13">
        <v>1829.7</v>
      </c>
      <c r="G281" s="13">
        <v>36.69</v>
      </c>
      <c r="H281" s="13">
        <v>1810.8889999999999</v>
      </c>
      <c r="I281" s="13">
        <v>445.15499999999997</v>
      </c>
      <c r="J281" s="13">
        <v>98.971999999999994</v>
      </c>
    </row>
    <row r="282" spans="1:10" ht="56.25" x14ac:dyDescent="0.2">
      <c r="A282" s="15" t="s">
        <v>286</v>
      </c>
      <c r="B282" s="16" t="s">
        <v>596</v>
      </c>
      <c r="C282" s="16" t="s">
        <v>23</v>
      </c>
      <c r="D282" s="16" t="s">
        <v>24</v>
      </c>
      <c r="E282" s="17"/>
      <c r="F282" s="17">
        <v>1605</v>
      </c>
      <c r="G282" s="17"/>
      <c r="H282" s="17">
        <v>1604.9090000000001</v>
      </c>
      <c r="I282" s="17"/>
      <c r="J282" s="17">
        <v>99.994</v>
      </c>
    </row>
    <row r="283" spans="1:10" ht="90" x14ac:dyDescent="0.2">
      <c r="A283" s="14" t="s">
        <v>288</v>
      </c>
      <c r="B283" s="12" t="s">
        <v>289</v>
      </c>
      <c r="C283" s="12"/>
      <c r="D283" s="12"/>
      <c r="E283" s="13">
        <v>406.8</v>
      </c>
      <c r="F283" s="13">
        <v>224.7</v>
      </c>
      <c r="G283" s="13">
        <v>36.69</v>
      </c>
      <c r="H283" s="13">
        <v>205.98</v>
      </c>
      <c r="I283" s="13">
        <v>50.634</v>
      </c>
      <c r="J283" s="13">
        <v>91.668999999999997</v>
      </c>
    </row>
    <row r="284" spans="1:10" ht="90" x14ac:dyDescent="0.2">
      <c r="A284" s="18" t="s">
        <v>288</v>
      </c>
      <c r="B284" s="16" t="s">
        <v>754</v>
      </c>
      <c r="C284" s="16" t="s">
        <v>23</v>
      </c>
      <c r="D284" s="16" t="s">
        <v>24</v>
      </c>
      <c r="E284" s="17"/>
      <c r="F284" s="17">
        <v>15</v>
      </c>
      <c r="G284" s="17"/>
      <c r="H284" s="17">
        <v>15</v>
      </c>
      <c r="I284" s="17"/>
      <c r="J284" s="17">
        <v>100</v>
      </c>
    </row>
    <row r="285" spans="1:10" ht="90" x14ac:dyDescent="0.2">
      <c r="A285" s="18" t="s">
        <v>288</v>
      </c>
      <c r="B285" s="16" t="s">
        <v>597</v>
      </c>
      <c r="C285" s="16" t="s">
        <v>23</v>
      </c>
      <c r="D285" s="16" t="s">
        <v>24</v>
      </c>
      <c r="E285" s="17">
        <v>38.4</v>
      </c>
      <c r="F285" s="17">
        <v>38.4</v>
      </c>
      <c r="G285" s="17"/>
      <c r="H285" s="17"/>
      <c r="I285" s="17"/>
      <c r="J285" s="17"/>
    </row>
    <row r="286" spans="1:10" ht="90" x14ac:dyDescent="0.2">
      <c r="A286" s="18" t="s">
        <v>288</v>
      </c>
      <c r="B286" s="16" t="s">
        <v>290</v>
      </c>
      <c r="C286" s="16" t="s">
        <v>23</v>
      </c>
      <c r="D286" s="16" t="s">
        <v>24</v>
      </c>
      <c r="E286" s="17">
        <v>160</v>
      </c>
      <c r="F286" s="17">
        <v>171.3</v>
      </c>
      <c r="G286" s="17">
        <v>36.69</v>
      </c>
      <c r="H286" s="17">
        <v>190.98</v>
      </c>
      <c r="I286" s="17">
        <v>119.36199999999999</v>
      </c>
      <c r="J286" s="17">
        <v>111.489</v>
      </c>
    </row>
    <row r="287" spans="1:10" ht="90" x14ac:dyDescent="0.2">
      <c r="A287" s="18" t="s">
        <v>288</v>
      </c>
      <c r="B287" s="16" t="s">
        <v>755</v>
      </c>
      <c r="C287" s="16" t="s">
        <v>23</v>
      </c>
      <c r="D287" s="16" t="s">
        <v>24</v>
      </c>
      <c r="E287" s="17">
        <v>208.4</v>
      </c>
      <c r="F287" s="17"/>
      <c r="G287" s="17"/>
      <c r="H287" s="17"/>
      <c r="I287" s="17"/>
      <c r="J287" s="17"/>
    </row>
    <row r="288" spans="1:10" ht="22.5" x14ac:dyDescent="0.2">
      <c r="A288" s="11" t="s">
        <v>291</v>
      </c>
      <c r="B288" s="12" t="s">
        <v>292</v>
      </c>
      <c r="C288" s="12"/>
      <c r="D288" s="12"/>
      <c r="E288" s="13">
        <v>2710.7</v>
      </c>
      <c r="F288" s="13">
        <v>4832</v>
      </c>
      <c r="G288" s="13">
        <v>221.941</v>
      </c>
      <c r="H288" s="13">
        <v>5073.5320000000002</v>
      </c>
      <c r="I288" s="13">
        <v>187.167</v>
      </c>
      <c r="J288" s="13">
        <v>104.999</v>
      </c>
    </row>
    <row r="289" spans="1:10" ht="33.75" x14ac:dyDescent="0.2">
      <c r="A289" s="11" t="s">
        <v>293</v>
      </c>
      <c r="B289" s="12" t="s">
        <v>294</v>
      </c>
      <c r="C289" s="12"/>
      <c r="D289" s="12"/>
      <c r="E289" s="13">
        <v>2710.7</v>
      </c>
      <c r="F289" s="13">
        <v>4832</v>
      </c>
      <c r="G289" s="13">
        <v>221.941</v>
      </c>
      <c r="H289" s="13">
        <v>5073.5320000000002</v>
      </c>
      <c r="I289" s="13">
        <v>187.167</v>
      </c>
      <c r="J289" s="13">
        <v>104.999</v>
      </c>
    </row>
    <row r="290" spans="1:10" ht="33.75" x14ac:dyDescent="0.2">
      <c r="A290" s="15" t="s">
        <v>293</v>
      </c>
      <c r="B290" s="16" t="s">
        <v>295</v>
      </c>
      <c r="C290" s="16" t="s">
        <v>23</v>
      </c>
      <c r="D290" s="16" t="s">
        <v>24</v>
      </c>
      <c r="E290" s="17">
        <v>77</v>
      </c>
      <c r="F290" s="17">
        <v>47.7</v>
      </c>
      <c r="G290" s="17">
        <v>7</v>
      </c>
      <c r="H290" s="17">
        <v>44.335999999999999</v>
      </c>
      <c r="I290" s="17">
        <v>57.58</v>
      </c>
      <c r="J290" s="17">
        <v>92.947999999999993</v>
      </c>
    </row>
    <row r="291" spans="1:10" ht="33.75" x14ac:dyDescent="0.2">
      <c r="A291" s="15" t="s">
        <v>293</v>
      </c>
      <c r="B291" s="16" t="s">
        <v>598</v>
      </c>
      <c r="C291" s="16" t="s">
        <v>23</v>
      </c>
      <c r="D291" s="16" t="s">
        <v>24</v>
      </c>
      <c r="E291" s="17">
        <v>52.1</v>
      </c>
      <c r="F291" s="17">
        <v>50</v>
      </c>
      <c r="G291" s="17"/>
      <c r="H291" s="17">
        <v>50</v>
      </c>
      <c r="I291" s="17">
        <v>95.968999999999994</v>
      </c>
      <c r="J291" s="17">
        <v>100</v>
      </c>
    </row>
    <row r="292" spans="1:10" ht="33.75" x14ac:dyDescent="0.2">
      <c r="A292" s="15" t="s">
        <v>293</v>
      </c>
      <c r="B292" s="16" t="s">
        <v>296</v>
      </c>
      <c r="C292" s="16" t="s">
        <v>23</v>
      </c>
      <c r="D292" s="16" t="s">
        <v>24</v>
      </c>
      <c r="E292" s="17">
        <v>18.8</v>
      </c>
      <c r="F292" s="17">
        <v>18.8</v>
      </c>
      <c r="G292" s="17"/>
      <c r="H292" s="17"/>
      <c r="I292" s="17"/>
      <c r="J292" s="17"/>
    </row>
    <row r="293" spans="1:10" ht="33.75" x14ac:dyDescent="0.2">
      <c r="A293" s="15" t="s">
        <v>293</v>
      </c>
      <c r="B293" s="16" t="s">
        <v>599</v>
      </c>
      <c r="C293" s="16" t="s">
        <v>23</v>
      </c>
      <c r="D293" s="16" t="s">
        <v>24</v>
      </c>
      <c r="E293" s="17">
        <v>200</v>
      </c>
      <c r="F293" s="17">
        <v>8</v>
      </c>
      <c r="G293" s="17">
        <v>13</v>
      </c>
      <c r="H293" s="17">
        <v>24</v>
      </c>
      <c r="I293" s="17">
        <v>12</v>
      </c>
      <c r="J293" s="17">
        <v>300</v>
      </c>
    </row>
    <row r="294" spans="1:10" ht="33.75" x14ac:dyDescent="0.2">
      <c r="A294" s="15" t="s">
        <v>293</v>
      </c>
      <c r="B294" s="16" t="s">
        <v>297</v>
      </c>
      <c r="C294" s="16" t="s">
        <v>23</v>
      </c>
      <c r="D294" s="16" t="s">
        <v>24</v>
      </c>
      <c r="E294" s="17">
        <v>626</v>
      </c>
      <c r="F294" s="17">
        <v>1920.7</v>
      </c>
      <c r="G294" s="17">
        <v>43.174999999999997</v>
      </c>
      <c r="H294" s="17">
        <v>1903.029</v>
      </c>
      <c r="I294" s="17">
        <v>303.99799999999999</v>
      </c>
      <c r="J294" s="17">
        <v>99.08</v>
      </c>
    </row>
    <row r="295" spans="1:10" ht="33.75" x14ac:dyDescent="0.2">
      <c r="A295" s="15" t="s">
        <v>293</v>
      </c>
      <c r="B295" s="16" t="s">
        <v>696</v>
      </c>
      <c r="C295" s="16" t="s">
        <v>23</v>
      </c>
      <c r="D295" s="16" t="s">
        <v>24</v>
      </c>
      <c r="E295" s="17"/>
      <c r="F295" s="17">
        <v>500</v>
      </c>
      <c r="G295" s="17">
        <v>1.726</v>
      </c>
      <c r="H295" s="17">
        <v>688.96900000000005</v>
      </c>
      <c r="I295" s="17"/>
      <c r="J295" s="17">
        <v>137.79400000000001</v>
      </c>
    </row>
    <row r="296" spans="1:10" ht="67.5" x14ac:dyDescent="0.2">
      <c r="A296" s="14" t="s">
        <v>298</v>
      </c>
      <c r="B296" s="12" t="s">
        <v>299</v>
      </c>
      <c r="C296" s="12"/>
      <c r="D296" s="12"/>
      <c r="E296" s="13">
        <v>1689.9</v>
      </c>
      <c r="F296" s="13">
        <v>2239.9</v>
      </c>
      <c r="G296" s="13">
        <v>157.041</v>
      </c>
      <c r="H296" s="13">
        <v>2363.1979999999999</v>
      </c>
      <c r="I296" s="13">
        <v>139.84299999999999</v>
      </c>
      <c r="J296" s="13">
        <v>105.505</v>
      </c>
    </row>
    <row r="297" spans="1:10" ht="67.5" x14ac:dyDescent="0.2">
      <c r="A297" s="18" t="s">
        <v>298</v>
      </c>
      <c r="B297" s="16" t="s">
        <v>300</v>
      </c>
      <c r="C297" s="16" t="s">
        <v>23</v>
      </c>
      <c r="D297" s="16" t="s">
        <v>24</v>
      </c>
      <c r="E297" s="17">
        <v>400</v>
      </c>
      <c r="F297" s="17">
        <v>971.3</v>
      </c>
      <c r="G297" s="17">
        <v>39.5</v>
      </c>
      <c r="H297" s="17">
        <v>1083.345</v>
      </c>
      <c r="I297" s="17">
        <v>270.83600000000001</v>
      </c>
      <c r="J297" s="17">
        <v>111.536</v>
      </c>
    </row>
    <row r="298" spans="1:10" ht="67.5" x14ac:dyDescent="0.2">
      <c r="A298" s="18" t="s">
        <v>298</v>
      </c>
      <c r="B298" s="16" t="s">
        <v>301</v>
      </c>
      <c r="C298" s="16" t="s">
        <v>23</v>
      </c>
      <c r="D298" s="16" t="s">
        <v>24</v>
      </c>
      <c r="E298" s="17">
        <v>66.599999999999994</v>
      </c>
      <c r="F298" s="17">
        <v>37.299999999999997</v>
      </c>
      <c r="G298" s="17">
        <v>19</v>
      </c>
      <c r="H298" s="17">
        <v>75</v>
      </c>
      <c r="I298" s="17">
        <v>112.613</v>
      </c>
      <c r="J298" s="17">
        <v>201.072</v>
      </c>
    </row>
    <row r="299" spans="1:10" ht="67.5" x14ac:dyDescent="0.2">
      <c r="A299" s="18" t="s">
        <v>298</v>
      </c>
      <c r="B299" s="16" t="s">
        <v>756</v>
      </c>
      <c r="C299" s="16" t="s">
        <v>23</v>
      </c>
      <c r="D299" s="16" t="s">
        <v>24</v>
      </c>
      <c r="E299" s="17"/>
      <c r="F299" s="17">
        <v>40</v>
      </c>
      <c r="G299" s="17"/>
      <c r="H299" s="17">
        <v>51.915999999999997</v>
      </c>
      <c r="I299" s="17"/>
      <c r="J299" s="17">
        <v>129.79</v>
      </c>
    </row>
    <row r="300" spans="1:10" ht="67.5" x14ac:dyDescent="0.2">
      <c r="A300" s="18" t="s">
        <v>298</v>
      </c>
      <c r="B300" s="16" t="s">
        <v>757</v>
      </c>
      <c r="C300" s="16" t="s">
        <v>23</v>
      </c>
      <c r="D300" s="16" t="s">
        <v>24</v>
      </c>
      <c r="E300" s="17"/>
      <c r="F300" s="17">
        <v>1.6</v>
      </c>
      <c r="G300" s="17"/>
      <c r="H300" s="17">
        <v>1.617</v>
      </c>
      <c r="I300" s="17"/>
      <c r="J300" s="17">
        <v>101.063</v>
      </c>
    </row>
    <row r="301" spans="1:10" ht="67.5" x14ac:dyDescent="0.2">
      <c r="A301" s="18" t="s">
        <v>298</v>
      </c>
      <c r="B301" s="16" t="s">
        <v>302</v>
      </c>
      <c r="C301" s="16" t="s">
        <v>23</v>
      </c>
      <c r="D301" s="16" t="s">
        <v>24</v>
      </c>
      <c r="E301" s="17">
        <v>1150</v>
      </c>
      <c r="F301" s="17">
        <v>1132</v>
      </c>
      <c r="G301" s="17">
        <v>98.263000000000005</v>
      </c>
      <c r="H301" s="17">
        <v>1057.6949999999999</v>
      </c>
      <c r="I301" s="17">
        <v>91.974000000000004</v>
      </c>
      <c r="J301" s="17">
        <v>93.436000000000007</v>
      </c>
    </row>
    <row r="302" spans="1:10" ht="67.5" x14ac:dyDescent="0.2">
      <c r="A302" s="18" t="s">
        <v>298</v>
      </c>
      <c r="B302" s="16" t="s">
        <v>303</v>
      </c>
      <c r="C302" s="16" t="s">
        <v>23</v>
      </c>
      <c r="D302" s="16" t="s">
        <v>24</v>
      </c>
      <c r="E302" s="17">
        <v>73.3</v>
      </c>
      <c r="F302" s="17">
        <v>57.7</v>
      </c>
      <c r="G302" s="17">
        <v>0.27700000000000002</v>
      </c>
      <c r="H302" s="17">
        <v>93.625</v>
      </c>
      <c r="I302" s="17">
        <v>127.729</v>
      </c>
      <c r="J302" s="17">
        <v>162.262</v>
      </c>
    </row>
    <row r="303" spans="1:10" ht="45" x14ac:dyDescent="0.2">
      <c r="A303" s="11" t="s">
        <v>304</v>
      </c>
      <c r="B303" s="12" t="s">
        <v>305</v>
      </c>
      <c r="C303" s="12"/>
      <c r="D303" s="12"/>
      <c r="E303" s="13">
        <v>46.9</v>
      </c>
      <c r="F303" s="13">
        <v>46.9</v>
      </c>
      <c r="G303" s="13"/>
      <c r="H303" s="13"/>
      <c r="I303" s="13"/>
      <c r="J303" s="13"/>
    </row>
    <row r="304" spans="1:10" ht="45" x14ac:dyDescent="0.2">
      <c r="A304" s="15" t="s">
        <v>304</v>
      </c>
      <c r="B304" s="16" t="s">
        <v>306</v>
      </c>
      <c r="C304" s="16" t="s">
        <v>23</v>
      </c>
      <c r="D304" s="16" t="s">
        <v>24</v>
      </c>
      <c r="E304" s="17">
        <v>46.9</v>
      </c>
      <c r="F304" s="17">
        <v>46.9</v>
      </c>
      <c r="G304" s="17"/>
      <c r="H304" s="17"/>
      <c r="I304" s="17"/>
      <c r="J304" s="17"/>
    </row>
    <row r="305" spans="1:16" ht="33.200000000000003" customHeight="1" x14ac:dyDescent="0.2">
      <c r="A305" s="25" t="s">
        <v>307</v>
      </c>
      <c r="B305" s="26" t="s">
        <v>308</v>
      </c>
      <c r="C305" s="26"/>
      <c r="D305" s="26"/>
      <c r="E305" s="19">
        <v>50</v>
      </c>
      <c r="F305" s="19">
        <v>413.11399999999998</v>
      </c>
      <c r="G305" s="27">
        <v>314.01600000000002</v>
      </c>
      <c r="H305" s="19">
        <v>493.62</v>
      </c>
      <c r="I305" s="19">
        <v>987.24</v>
      </c>
      <c r="J305" s="19">
        <v>119.488</v>
      </c>
      <c r="K305" s="211"/>
      <c r="L305" s="20"/>
    </row>
    <row r="306" spans="1:16" ht="22.5" x14ac:dyDescent="0.2">
      <c r="A306" s="11" t="s">
        <v>483</v>
      </c>
      <c r="B306" s="12" t="s">
        <v>484</v>
      </c>
      <c r="C306" s="12"/>
      <c r="D306" s="12"/>
      <c r="E306" s="13"/>
      <c r="F306" s="13"/>
      <c r="G306" s="13">
        <v>-6.8760000000000003</v>
      </c>
      <c r="H306" s="13">
        <v>17.984000000000002</v>
      </c>
      <c r="I306" s="13"/>
      <c r="J306" s="13"/>
    </row>
    <row r="307" spans="1:16" ht="22.5" x14ac:dyDescent="0.2">
      <c r="A307" s="11" t="s">
        <v>428</v>
      </c>
      <c r="B307" s="12" t="s">
        <v>429</v>
      </c>
      <c r="C307" s="12"/>
      <c r="D307" s="12"/>
      <c r="E307" s="13"/>
      <c r="F307" s="13"/>
      <c r="G307" s="13">
        <v>-6.8760000000000003</v>
      </c>
      <c r="H307" s="13">
        <v>17.984000000000002</v>
      </c>
      <c r="I307" s="13"/>
      <c r="J307" s="13"/>
    </row>
    <row r="308" spans="1:16" ht="22.5" x14ac:dyDescent="0.2">
      <c r="A308" s="15" t="s">
        <v>428</v>
      </c>
      <c r="B308" s="16" t="s">
        <v>758</v>
      </c>
      <c r="C308" s="16" t="s">
        <v>23</v>
      </c>
      <c r="D308" s="16" t="s">
        <v>24</v>
      </c>
      <c r="E308" s="17"/>
      <c r="F308" s="17"/>
      <c r="G308" s="17">
        <v>2.5129999999999999</v>
      </c>
      <c r="H308" s="17">
        <v>2.5129999999999999</v>
      </c>
      <c r="I308" s="17"/>
      <c r="J308" s="17"/>
    </row>
    <row r="309" spans="1:16" ht="22.5" x14ac:dyDescent="0.2">
      <c r="A309" s="15" t="s">
        <v>428</v>
      </c>
      <c r="B309" s="16" t="s">
        <v>430</v>
      </c>
      <c r="C309" s="16" t="s">
        <v>23</v>
      </c>
      <c r="D309" s="16" t="s">
        <v>24</v>
      </c>
      <c r="E309" s="17"/>
      <c r="F309" s="17"/>
      <c r="G309" s="17">
        <v>-9.3889999999999993</v>
      </c>
      <c r="H309" s="21">
        <v>15.471</v>
      </c>
      <c r="I309" s="17"/>
      <c r="J309" s="17"/>
      <c r="K309" s="31" t="s">
        <v>1040</v>
      </c>
    </row>
    <row r="310" spans="1:16" ht="22.5" x14ac:dyDescent="0.2">
      <c r="A310" s="11" t="s">
        <v>309</v>
      </c>
      <c r="B310" s="12" t="s">
        <v>310</v>
      </c>
      <c r="C310" s="12"/>
      <c r="D310" s="12"/>
      <c r="E310" s="13">
        <v>50</v>
      </c>
      <c r="F310" s="13">
        <v>413.11399999999998</v>
      </c>
      <c r="G310" s="13">
        <v>320.89299999999997</v>
      </c>
      <c r="H310" s="13">
        <v>475.63600000000002</v>
      </c>
      <c r="I310" s="13">
        <v>951.27099999999996</v>
      </c>
      <c r="J310" s="13">
        <v>115.134</v>
      </c>
    </row>
    <row r="311" spans="1:16" ht="22.5" x14ac:dyDescent="0.2">
      <c r="A311" s="11" t="s">
        <v>311</v>
      </c>
      <c r="B311" s="12" t="s">
        <v>312</v>
      </c>
      <c r="C311" s="12"/>
      <c r="D311" s="12"/>
      <c r="E311" s="13">
        <v>50</v>
      </c>
      <c r="F311" s="13">
        <v>413.11399999999998</v>
      </c>
      <c r="G311" s="13">
        <v>320.89299999999997</v>
      </c>
      <c r="H311" s="13">
        <v>475.63600000000002</v>
      </c>
      <c r="I311" s="13">
        <v>951.27099999999996</v>
      </c>
      <c r="J311" s="13">
        <v>115.134</v>
      </c>
    </row>
    <row r="312" spans="1:16" ht="63" x14ac:dyDescent="0.2">
      <c r="A312" s="15" t="s">
        <v>311</v>
      </c>
      <c r="B312" s="16" t="s">
        <v>759</v>
      </c>
      <c r="C312" s="16" t="s">
        <v>23</v>
      </c>
      <c r="D312" s="16" t="s">
        <v>24</v>
      </c>
      <c r="E312" s="17"/>
      <c r="F312" s="17"/>
      <c r="G312" s="17">
        <v>-87.337999999999994</v>
      </c>
      <c r="H312" s="21">
        <v>37.206000000000003</v>
      </c>
      <c r="I312" s="17"/>
      <c r="J312" s="17"/>
      <c r="K312" s="217" t="s">
        <v>1041</v>
      </c>
      <c r="L312" s="217" t="s">
        <v>1042</v>
      </c>
      <c r="M312" s="217" t="s">
        <v>1043</v>
      </c>
    </row>
    <row r="313" spans="1:16" ht="22.5" x14ac:dyDescent="0.2">
      <c r="A313" s="15" t="s">
        <v>311</v>
      </c>
      <c r="B313" s="16" t="s">
        <v>313</v>
      </c>
      <c r="C313" s="16" t="s">
        <v>23</v>
      </c>
      <c r="D313" s="16" t="s">
        <v>24</v>
      </c>
      <c r="E313" s="17">
        <v>50</v>
      </c>
      <c r="F313" s="17">
        <v>413.11399999999998</v>
      </c>
      <c r="G313" s="17">
        <v>408.23</v>
      </c>
      <c r="H313" s="17">
        <v>438.43</v>
      </c>
      <c r="I313" s="17">
        <v>876.86</v>
      </c>
      <c r="J313" s="17">
        <v>106.128</v>
      </c>
      <c r="K313" s="218">
        <v>10463.77</v>
      </c>
      <c r="L313" s="218">
        <v>5512.54</v>
      </c>
      <c r="M313" s="218">
        <v>21229.33</v>
      </c>
      <c r="N313" s="219">
        <f>M313+L313+K313</f>
        <v>37205.64</v>
      </c>
      <c r="O313" s="31" t="s">
        <v>1044</v>
      </c>
    </row>
    <row r="314" spans="1:16" ht="33.200000000000003" customHeight="1" x14ac:dyDescent="0.2">
      <c r="A314" s="25" t="s">
        <v>314</v>
      </c>
      <c r="B314" s="26" t="s">
        <v>315</v>
      </c>
      <c r="C314" s="26"/>
      <c r="D314" s="26"/>
      <c r="E314" s="19">
        <v>1461037.439</v>
      </c>
      <c r="F314" s="19">
        <v>1947481.85</v>
      </c>
      <c r="G314" s="27">
        <v>263127.56800000003</v>
      </c>
      <c r="H314" s="19">
        <v>1717369.69</v>
      </c>
      <c r="I314" s="19">
        <v>117.545</v>
      </c>
      <c r="J314" s="19">
        <v>88.183999999999997</v>
      </c>
      <c r="K314" s="220">
        <f>F314-H314</f>
        <v>230112.16000000015</v>
      </c>
      <c r="L314" s="20">
        <f>F313-H313</f>
        <v>-25.316000000000031</v>
      </c>
      <c r="M314" s="20">
        <f>F314-E314</f>
        <v>486444.41100000008</v>
      </c>
    </row>
    <row r="315" spans="1:16" ht="33.200000000000003" customHeight="1" x14ac:dyDescent="0.2">
      <c r="A315" s="25" t="s">
        <v>316</v>
      </c>
      <c r="B315" s="26" t="s">
        <v>317</v>
      </c>
      <c r="C315" s="26"/>
      <c r="D315" s="26"/>
      <c r="E315" s="19">
        <v>1461037.439</v>
      </c>
      <c r="F315" s="19">
        <v>1953282.909</v>
      </c>
      <c r="G315" s="27">
        <v>263137.49400000001</v>
      </c>
      <c r="H315" s="19">
        <v>1723180.675</v>
      </c>
      <c r="I315" s="19">
        <v>117.94199999999999</v>
      </c>
      <c r="J315" s="19">
        <v>88.22</v>
      </c>
      <c r="K315" s="211"/>
      <c r="L315" s="20"/>
    </row>
    <row r="316" spans="1:16" s="212" customFormat="1" ht="22.5" x14ac:dyDescent="0.2">
      <c r="A316" s="28" t="s">
        <v>318</v>
      </c>
      <c r="B316" s="29" t="s">
        <v>760</v>
      </c>
      <c r="C316" s="29"/>
      <c r="D316" s="29"/>
      <c r="E316" s="22">
        <f>99366.9</f>
        <v>99366.9</v>
      </c>
      <c r="F316" s="22">
        <v>226447.1</v>
      </c>
      <c r="G316" s="22">
        <v>17006.2</v>
      </c>
      <c r="H316" s="22">
        <v>226447.1</v>
      </c>
      <c r="I316" s="22">
        <v>227.89</v>
      </c>
      <c r="J316" s="216">
        <f>E316+E323+E356+E386</f>
        <v>1448308.9</v>
      </c>
      <c r="K316" s="216">
        <f>F316+F323+F356+F386</f>
        <v>1940849.923</v>
      </c>
      <c r="L316" s="216">
        <f>G316+G323+G356+G386</f>
        <v>262153.57299999997</v>
      </c>
      <c r="M316" s="216">
        <f>H316+H323+H356+H386</f>
        <v>1710747.689</v>
      </c>
      <c r="N316" s="221">
        <f>M316/K316</f>
        <v>0.88144254160346025</v>
      </c>
      <c r="P316" s="216">
        <f>M316-'[1]Анализ доходов'!$N$329</f>
        <v>279779.39499999979</v>
      </c>
    </row>
    <row r="317" spans="1:16" ht="22.5" x14ac:dyDescent="0.2">
      <c r="A317" s="11" t="s">
        <v>600</v>
      </c>
      <c r="B317" s="12" t="s">
        <v>761</v>
      </c>
      <c r="C317" s="12"/>
      <c r="D317" s="12"/>
      <c r="E317" s="13">
        <v>35934</v>
      </c>
      <c r="F317" s="13">
        <v>35934</v>
      </c>
      <c r="G317" s="13">
        <v>1126</v>
      </c>
      <c r="H317" s="13">
        <v>35934</v>
      </c>
      <c r="I317" s="13">
        <v>100</v>
      </c>
      <c r="J317" s="13">
        <v>100</v>
      </c>
      <c r="K317" s="20">
        <f>K316-J316</f>
        <v>492541.02300000004</v>
      </c>
    </row>
    <row r="318" spans="1:16" ht="22.5" x14ac:dyDescent="0.2">
      <c r="A318" s="11" t="s">
        <v>435</v>
      </c>
      <c r="B318" s="12" t="s">
        <v>762</v>
      </c>
      <c r="C318" s="12"/>
      <c r="D318" s="12"/>
      <c r="E318" s="13">
        <v>35934</v>
      </c>
      <c r="F318" s="13">
        <v>35934</v>
      </c>
      <c r="G318" s="13">
        <v>1126</v>
      </c>
      <c r="H318" s="13">
        <v>35934</v>
      </c>
      <c r="I318" s="13">
        <v>100</v>
      </c>
      <c r="J318" s="13">
        <v>100</v>
      </c>
      <c r="K318" s="20">
        <f>F316-E316</f>
        <v>127080.20000000001</v>
      </c>
    </row>
    <row r="319" spans="1:16" ht="22.5" x14ac:dyDescent="0.2">
      <c r="A319" s="15" t="s">
        <v>435</v>
      </c>
      <c r="B319" s="16" t="s">
        <v>763</v>
      </c>
      <c r="C319" s="16" t="s">
        <v>23</v>
      </c>
      <c r="D319" s="16" t="s">
        <v>24</v>
      </c>
      <c r="E319" s="17">
        <v>35934</v>
      </c>
      <c r="F319" s="17">
        <v>35934</v>
      </c>
      <c r="G319" s="17">
        <v>1126</v>
      </c>
      <c r="H319" s="17">
        <v>35934</v>
      </c>
      <c r="I319" s="17">
        <v>100</v>
      </c>
      <c r="J319" s="17">
        <v>100</v>
      </c>
    </row>
    <row r="320" spans="1:16" ht="22.5" x14ac:dyDescent="0.2">
      <c r="A320" s="11" t="s">
        <v>319</v>
      </c>
      <c r="B320" s="12" t="s">
        <v>764</v>
      </c>
      <c r="C320" s="12"/>
      <c r="D320" s="12"/>
      <c r="E320" s="13">
        <v>63432.9</v>
      </c>
      <c r="F320" s="13">
        <v>190513.1</v>
      </c>
      <c r="G320" s="13">
        <v>15880.2</v>
      </c>
      <c r="H320" s="13">
        <v>190513.1</v>
      </c>
      <c r="I320" s="13">
        <v>300.33800000000002</v>
      </c>
      <c r="J320" s="13">
        <v>100</v>
      </c>
    </row>
    <row r="321" spans="1:12" ht="33.75" x14ac:dyDescent="0.2">
      <c r="A321" s="11" t="s">
        <v>320</v>
      </c>
      <c r="B321" s="12" t="s">
        <v>765</v>
      </c>
      <c r="C321" s="12"/>
      <c r="D321" s="12"/>
      <c r="E321" s="13">
        <v>63432.9</v>
      </c>
      <c r="F321" s="13">
        <v>190513.1</v>
      </c>
      <c r="G321" s="13">
        <v>15880.2</v>
      </c>
      <c r="H321" s="13">
        <v>190513.1</v>
      </c>
      <c r="I321" s="13">
        <v>300.33800000000002</v>
      </c>
      <c r="J321" s="13">
        <v>100</v>
      </c>
    </row>
    <row r="322" spans="1:12" ht="33.75" x14ac:dyDescent="0.2">
      <c r="A322" s="15" t="s">
        <v>320</v>
      </c>
      <c r="B322" s="16" t="s">
        <v>766</v>
      </c>
      <c r="C322" s="16" t="s">
        <v>23</v>
      </c>
      <c r="D322" s="16" t="s">
        <v>24</v>
      </c>
      <c r="E322" s="17">
        <v>63432.9</v>
      </c>
      <c r="F322" s="17">
        <v>190513.1</v>
      </c>
      <c r="G322" s="17">
        <v>15880.2</v>
      </c>
      <c r="H322" s="17">
        <v>190513.1</v>
      </c>
      <c r="I322" s="17">
        <v>300.33800000000002</v>
      </c>
      <c r="J322" s="17">
        <v>100</v>
      </c>
    </row>
    <row r="323" spans="1:12" s="212" customFormat="1" ht="31.9" customHeight="1" x14ac:dyDescent="0.2">
      <c r="A323" s="28" t="s">
        <v>321</v>
      </c>
      <c r="B323" s="29" t="s">
        <v>767</v>
      </c>
      <c r="C323" s="29"/>
      <c r="D323" s="29"/>
      <c r="E323" s="22">
        <f>105214.7+E352</f>
        <v>281691.09999999998</v>
      </c>
      <c r="F323" s="22">
        <v>425470.32299999997</v>
      </c>
      <c r="G323" s="22">
        <v>83930.409</v>
      </c>
      <c r="H323" s="22">
        <v>240987.71100000001</v>
      </c>
      <c r="I323" s="22">
        <v>229.04400000000001</v>
      </c>
      <c r="J323" s="22">
        <v>56.64</v>
      </c>
      <c r="K323" s="216">
        <f>F323-H323</f>
        <v>184482.61199999996</v>
      </c>
      <c r="L323" s="216">
        <f>F323-E323</f>
        <v>143779.223</v>
      </c>
    </row>
    <row r="324" spans="1:12" ht="33.75" x14ac:dyDescent="0.2">
      <c r="A324" s="11" t="s">
        <v>322</v>
      </c>
      <c r="B324" s="12" t="s">
        <v>768</v>
      </c>
      <c r="C324" s="12"/>
      <c r="D324" s="12"/>
      <c r="E324" s="13"/>
      <c r="F324" s="13">
        <v>176476.4</v>
      </c>
      <c r="G324" s="13">
        <v>7821.0569999999998</v>
      </c>
      <c r="H324" s="13">
        <v>7821.0569999999998</v>
      </c>
      <c r="I324" s="13"/>
      <c r="J324" s="13">
        <v>4.4320000000000004</v>
      </c>
      <c r="K324" s="20">
        <f>F324-H324</f>
        <v>168655.34299999999</v>
      </c>
    </row>
    <row r="325" spans="1:12" ht="33.75" x14ac:dyDescent="0.2">
      <c r="A325" s="11" t="s">
        <v>488</v>
      </c>
      <c r="B325" s="12" t="s">
        <v>769</v>
      </c>
      <c r="C325" s="12"/>
      <c r="D325" s="12"/>
      <c r="E325" s="13"/>
      <c r="F325" s="13">
        <v>176476.4</v>
      </c>
      <c r="G325" s="13">
        <v>7821.0569999999998</v>
      </c>
      <c r="H325" s="13">
        <v>7821.0569999999998</v>
      </c>
      <c r="I325" s="13"/>
      <c r="J325" s="13">
        <v>4.4320000000000004</v>
      </c>
    </row>
    <row r="326" spans="1:12" ht="33.75" x14ac:dyDescent="0.2">
      <c r="A326" s="15" t="s">
        <v>488</v>
      </c>
      <c r="B326" s="16" t="s">
        <v>770</v>
      </c>
      <c r="C326" s="16" t="s">
        <v>772</v>
      </c>
      <c r="D326" s="16" t="s">
        <v>24</v>
      </c>
      <c r="E326" s="17"/>
      <c r="F326" s="17">
        <v>176476.4</v>
      </c>
      <c r="G326" s="17">
        <v>7821.0569999999998</v>
      </c>
      <c r="H326" s="17">
        <v>7821.0569999999998</v>
      </c>
      <c r="I326" s="17"/>
      <c r="J326" s="17">
        <v>4.4320000000000004</v>
      </c>
      <c r="K326" s="23">
        <f>H326-F326</f>
        <v>-168655.34299999999</v>
      </c>
    </row>
    <row r="327" spans="1:12" ht="22.5" x14ac:dyDescent="0.2">
      <c r="A327" s="11" t="s">
        <v>601</v>
      </c>
      <c r="B327" s="12" t="s">
        <v>773</v>
      </c>
      <c r="C327" s="12"/>
      <c r="D327" s="12"/>
      <c r="E327" s="13"/>
      <c r="F327" s="13">
        <v>8103.2640000000001</v>
      </c>
      <c r="G327" s="13"/>
      <c r="H327" s="13">
        <v>7966.2120000000004</v>
      </c>
      <c r="I327" s="13"/>
      <c r="J327" s="13">
        <v>98.308999999999997</v>
      </c>
    </row>
    <row r="328" spans="1:12" ht="33.75" x14ac:dyDescent="0.2">
      <c r="A328" s="11" t="s">
        <v>602</v>
      </c>
      <c r="B328" s="12" t="s">
        <v>774</v>
      </c>
      <c r="C328" s="12"/>
      <c r="D328" s="12"/>
      <c r="E328" s="13"/>
      <c r="F328" s="13">
        <v>8103.2640000000001</v>
      </c>
      <c r="G328" s="13"/>
      <c r="H328" s="13">
        <v>7966.2120000000004</v>
      </c>
      <c r="I328" s="13"/>
      <c r="J328" s="13">
        <v>98.308999999999997</v>
      </c>
    </row>
    <row r="329" spans="1:12" ht="33.75" x14ac:dyDescent="0.2">
      <c r="A329" s="15" t="s">
        <v>602</v>
      </c>
      <c r="B329" s="16" t="s">
        <v>775</v>
      </c>
      <c r="C329" s="16" t="s">
        <v>23</v>
      </c>
      <c r="D329" s="16" t="s">
        <v>24</v>
      </c>
      <c r="E329" s="17"/>
      <c r="F329" s="17">
        <v>8103.2640000000001</v>
      </c>
      <c r="G329" s="17"/>
      <c r="H329" s="17">
        <v>7966.2120000000004</v>
      </c>
      <c r="I329" s="17"/>
      <c r="J329" s="17">
        <v>98.308999999999997</v>
      </c>
      <c r="K329" s="222">
        <f>H329-F329</f>
        <v>-137.05199999999968</v>
      </c>
    </row>
    <row r="330" spans="1:12" ht="22.5" x14ac:dyDescent="0.2">
      <c r="A330" s="11" t="s">
        <v>489</v>
      </c>
      <c r="B330" s="12" t="s">
        <v>776</v>
      </c>
      <c r="C330" s="12"/>
      <c r="D330" s="12"/>
      <c r="E330" s="13"/>
      <c r="F330" s="13">
        <v>309.38400000000001</v>
      </c>
      <c r="G330" s="13"/>
      <c r="H330" s="13">
        <v>309.38200000000001</v>
      </c>
      <c r="I330" s="13"/>
      <c r="J330" s="13">
        <v>100</v>
      </c>
    </row>
    <row r="331" spans="1:12" ht="22.5" x14ac:dyDescent="0.2">
      <c r="A331" s="11" t="s">
        <v>434</v>
      </c>
      <c r="B331" s="12" t="s">
        <v>777</v>
      </c>
      <c r="C331" s="12"/>
      <c r="D331" s="12"/>
      <c r="E331" s="13"/>
      <c r="F331" s="13">
        <v>309.38400000000001</v>
      </c>
      <c r="G331" s="13"/>
      <c r="H331" s="13">
        <v>309.38200000000001</v>
      </c>
      <c r="I331" s="13"/>
      <c r="J331" s="13">
        <v>100</v>
      </c>
    </row>
    <row r="332" spans="1:12" ht="22.5" x14ac:dyDescent="0.2">
      <c r="A332" s="15" t="s">
        <v>434</v>
      </c>
      <c r="B332" s="16" t="s">
        <v>778</v>
      </c>
      <c r="C332" s="16" t="s">
        <v>23</v>
      </c>
      <c r="D332" s="16" t="s">
        <v>24</v>
      </c>
      <c r="E332" s="17"/>
      <c r="F332" s="17">
        <v>309.38400000000001</v>
      </c>
      <c r="G332" s="17"/>
      <c r="H332" s="17">
        <v>309.38200000000001</v>
      </c>
      <c r="I332" s="17"/>
      <c r="J332" s="17">
        <v>100</v>
      </c>
    </row>
    <row r="333" spans="1:12" ht="22.5" x14ac:dyDescent="0.2">
      <c r="A333" s="11" t="s">
        <v>323</v>
      </c>
      <c r="B333" s="12" t="s">
        <v>779</v>
      </c>
      <c r="C333" s="12"/>
      <c r="D333" s="12"/>
      <c r="E333" s="13">
        <v>105214.7</v>
      </c>
      <c r="F333" s="13">
        <v>240581.27499999999</v>
      </c>
      <c r="G333" s="13">
        <v>76109.351999999999</v>
      </c>
      <c r="H333" s="13">
        <v>224891.06099999999</v>
      </c>
      <c r="I333" s="13">
        <v>213.745</v>
      </c>
      <c r="J333" s="13">
        <v>93.477999999999994</v>
      </c>
      <c r="K333" s="20">
        <f>H333-F333</f>
        <v>-15690.214000000007</v>
      </c>
    </row>
    <row r="334" spans="1:12" ht="22.5" x14ac:dyDescent="0.2">
      <c r="A334" s="11" t="s">
        <v>324</v>
      </c>
      <c r="B334" s="12" t="s">
        <v>780</v>
      </c>
      <c r="C334" s="12"/>
      <c r="D334" s="12"/>
      <c r="E334" s="13">
        <v>105214.7</v>
      </c>
      <c r="F334" s="13">
        <v>240581.27499999999</v>
      </c>
      <c r="G334" s="13">
        <v>76109.351999999999</v>
      </c>
      <c r="H334" s="13">
        <v>224891.06099999999</v>
      </c>
      <c r="I334" s="13">
        <v>213.745</v>
      </c>
      <c r="J334" s="13">
        <v>93.477999999999994</v>
      </c>
      <c r="K334" s="20">
        <f t="shared" ref="K334:K351" si="0">H334-F334</f>
        <v>-15690.214000000007</v>
      </c>
    </row>
    <row r="335" spans="1:12" ht="22.5" x14ac:dyDescent="0.2">
      <c r="A335" s="15" t="s">
        <v>324</v>
      </c>
      <c r="B335" s="16" t="s">
        <v>781</v>
      </c>
      <c r="C335" s="16" t="s">
        <v>490</v>
      </c>
      <c r="D335" s="16" t="s">
        <v>24</v>
      </c>
      <c r="E335" s="17"/>
      <c r="F335" s="17">
        <v>109.08</v>
      </c>
      <c r="G335" s="17"/>
      <c r="H335" s="17">
        <v>109.08</v>
      </c>
      <c r="I335" s="17"/>
      <c r="J335" s="17">
        <v>100</v>
      </c>
      <c r="K335" s="20">
        <f t="shared" si="0"/>
        <v>0</v>
      </c>
    </row>
    <row r="336" spans="1:12" ht="22.5" x14ac:dyDescent="0.2">
      <c r="A336" s="15" t="s">
        <v>324</v>
      </c>
      <c r="B336" s="16" t="s">
        <v>781</v>
      </c>
      <c r="C336" s="16" t="s">
        <v>491</v>
      </c>
      <c r="D336" s="16" t="s">
        <v>24</v>
      </c>
      <c r="E336" s="17"/>
      <c r="F336" s="17">
        <v>239.06399999999999</v>
      </c>
      <c r="G336" s="17"/>
      <c r="H336" s="17">
        <v>239.06399999999999</v>
      </c>
      <c r="I336" s="17"/>
      <c r="J336" s="17">
        <v>100</v>
      </c>
      <c r="K336" s="20">
        <f t="shared" si="0"/>
        <v>0</v>
      </c>
    </row>
    <row r="337" spans="1:11" ht="22.5" x14ac:dyDescent="0.2">
      <c r="A337" s="15" t="s">
        <v>324</v>
      </c>
      <c r="B337" s="16" t="s">
        <v>781</v>
      </c>
      <c r="C337" s="16" t="s">
        <v>603</v>
      </c>
      <c r="D337" s="16" t="s">
        <v>24</v>
      </c>
      <c r="E337" s="17"/>
      <c r="F337" s="17">
        <v>779.2</v>
      </c>
      <c r="G337" s="17"/>
      <c r="H337" s="17">
        <v>779.2</v>
      </c>
      <c r="I337" s="17"/>
      <c r="J337" s="17">
        <v>100</v>
      </c>
      <c r="K337" s="20">
        <f t="shared" si="0"/>
        <v>0</v>
      </c>
    </row>
    <row r="338" spans="1:11" ht="22.5" x14ac:dyDescent="0.2">
      <c r="A338" s="15" t="s">
        <v>324</v>
      </c>
      <c r="B338" s="16" t="s">
        <v>782</v>
      </c>
      <c r="C338" s="16" t="s">
        <v>325</v>
      </c>
      <c r="D338" s="16" t="s">
        <v>24</v>
      </c>
      <c r="E338" s="17"/>
      <c r="F338" s="17">
        <v>353</v>
      </c>
      <c r="G338" s="17">
        <v>40</v>
      </c>
      <c r="H338" s="17">
        <v>276.62099999999998</v>
      </c>
      <c r="I338" s="17"/>
      <c r="J338" s="17">
        <v>78.363</v>
      </c>
      <c r="K338" s="20">
        <f>H338-F338</f>
        <v>-76.379000000000019</v>
      </c>
    </row>
    <row r="339" spans="1:11" ht="22.5" x14ac:dyDescent="0.2">
      <c r="A339" s="15" t="s">
        <v>324</v>
      </c>
      <c r="B339" s="16" t="s">
        <v>782</v>
      </c>
      <c r="C339" s="16" t="s">
        <v>783</v>
      </c>
      <c r="D339" s="16" t="s">
        <v>24</v>
      </c>
      <c r="E339" s="17"/>
      <c r="F339" s="17">
        <v>2364.3000000000002</v>
      </c>
      <c r="G339" s="17">
        <v>935.11300000000006</v>
      </c>
      <c r="H339" s="17">
        <v>2253.0700000000002</v>
      </c>
      <c r="I339" s="17"/>
      <c r="J339" s="17">
        <v>95.296000000000006</v>
      </c>
      <c r="K339" s="20">
        <f t="shared" si="0"/>
        <v>-111.23000000000002</v>
      </c>
    </row>
    <row r="340" spans="1:11" ht="22.5" x14ac:dyDescent="0.2">
      <c r="A340" s="15" t="s">
        <v>324</v>
      </c>
      <c r="B340" s="16" t="s">
        <v>782</v>
      </c>
      <c r="C340" s="16" t="s">
        <v>784</v>
      </c>
      <c r="D340" s="16" t="s">
        <v>24</v>
      </c>
      <c r="E340" s="17"/>
      <c r="F340" s="17">
        <v>31897.1</v>
      </c>
      <c r="G340" s="17">
        <v>28333.947</v>
      </c>
      <c r="H340" s="17">
        <v>31842.423999999999</v>
      </c>
      <c r="I340" s="17"/>
      <c r="J340" s="17">
        <v>99.828999999999994</v>
      </c>
      <c r="K340" s="20">
        <f t="shared" si="0"/>
        <v>-54.675999999999476</v>
      </c>
    </row>
    <row r="341" spans="1:11" ht="22.5" x14ac:dyDescent="0.2">
      <c r="A341" s="15" t="s">
        <v>324</v>
      </c>
      <c r="B341" s="16" t="s">
        <v>782</v>
      </c>
      <c r="C341" s="16" t="s">
        <v>789</v>
      </c>
      <c r="D341" s="16" t="s">
        <v>24</v>
      </c>
      <c r="E341" s="17"/>
      <c r="F341" s="17">
        <v>27936</v>
      </c>
      <c r="G341" s="17">
        <v>9365.4619999999995</v>
      </c>
      <c r="H341" s="17">
        <v>21649.98</v>
      </c>
      <c r="I341" s="17"/>
      <c r="J341" s="17">
        <v>77.498999999999995</v>
      </c>
      <c r="K341" s="23">
        <f t="shared" si="0"/>
        <v>-6286.02</v>
      </c>
    </row>
    <row r="342" spans="1:11" ht="22.5" x14ac:dyDescent="0.2">
      <c r="A342" s="15" t="s">
        <v>324</v>
      </c>
      <c r="B342" s="16" t="s">
        <v>782</v>
      </c>
      <c r="C342" s="16" t="s">
        <v>1045</v>
      </c>
      <c r="D342" s="16" t="s">
        <v>24</v>
      </c>
      <c r="E342" s="17"/>
      <c r="F342" s="17">
        <v>3564.8</v>
      </c>
      <c r="G342" s="17">
        <v>1314.538</v>
      </c>
      <c r="H342" s="17">
        <v>3325.3040000000001</v>
      </c>
      <c r="I342" s="17"/>
      <c r="J342" s="17">
        <v>93.281999999999996</v>
      </c>
      <c r="K342" s="20">
        <f t="shared" si="0"/>
        <v>-239.49600000000009</v>
      </c>
    </row>
    <row r="343" spans="1:11" ht="22.5" x14ac:dyDescent="0.2">
      <c r="A343" s="15" t="s">
        <v>324</v>
      </c>
      <c r="B343" s="16" t="s">
        <v>785</v>
      </c>
      <c r="C343" s="16" t="s">
        <v>327</v>
      </c>
      <c r="D343" s="16" t="s">
        <v>24</v>
      </c>
      <c r="E343" s="17"/>
      <c r="F343" s="17">
        <v>4952.6310000000003</v>
      </c>
      <c r="G343" s="17"/>
      <c r="H343" s="17">
        <v>4952.6310000000003</v>
      </c>
      <c r="I343" s="17"/>
      <c r="J343" s="17">
        <v>100</v>
      </c>
      <c r="K343" s="20">
        <f t="shared" si="0"/>
        <v>0</v>
      </c>
    </row>
    <row r="344" spans="1:11" ht="22.5" x14ac:dyDescent="0.2">
      <c r="A344" s="15" t="s">
        <v>324</v>
      </c>
      <c r="B344" s="16" t="s">
        <v>785</v>
      </c>
      <c r="C344" s="16" t="s">
        <v>485</v>
      </c>
      <c r="D344" s="16" t="s">
        <v>24</v>
      </c>
      <c r="E344" s="17">
        <v>68315</v>
      </c>
      <c r="F344" s="17">
        <v>99329.4</v>
      </c>
      <c r="G344" s="17">
        <v>22956.799999999999</v>
      </c>
      <c r="H344" s="17">
        <v>99329.4</v>
      </c>
      <c r="I344" s="17">
        <v>145.399</v>
      </c>
      <c r="J344" s="17">
        <v>100</v>
      </c>
      <c r="K344" s="20">
        <f t="shared" si="0"/>
        <v>0</v>
      </c>
    </row>
    <row r="345" spans="1:11" ht="22.5" x14ac:dyDescent="0.2">
      <c r="A345" s="15" t="s">
        <v>324</v>
      </c>
      <c r="B345" s="16" t="s">
        <v>785</v>
      </c>
      <c r="C345" s="16" t="s">
        <v>492</v>
      </c>
      <c r="D345" s="16" t="s">
        <v>24</v>
      </c>
      <c r="E345" s="17"/>
      <c r="F345" s="17">
        <v>15000</v>
      </c>
      <c r="G345" s="17">
        <v>392.06299999999999</v>
      </c>
      <c r="H345" s="17">
        <v>14993.486999999999</v>
      </c>
      <c r="I345" s="17"/>
      <c r="J345" s="17">
        <v>99.956999999999994</v>
      </c>
      <c r="K345" s="20">
        <f t="shared" si="0"/>
        <v>-6.5130000000008295</v>
      </c>
    </row>
    <row r="346" spans="1:11" ht="22.5" x14ac:dyDescent="0.2">
      <c r="A346" s="15" t="s">
        <v>324</v>
      </c>
      <c r="B346" s="16" t="s">
        <v>785</v>
      </c>
      <c r="C346" s="16" t="s">
        <v>604</v>
      </c>
      <c r="D346" s="16" t="s">
        <v>24</v>
      </c>
      <c r="E346" s="17"/>
      <c r="F346" s="17">
        <v>5500</v>
      </c>
      <c r="G346" s="17"/>
      <c r="H346" s="17">
        <v>5500</v>
      </c>
      <c r="I346" s="17"/>
      <c r="J346" s="17">
        <v>100</v>
      </c>
      <c r="K346" s="20">
        <f t="shared" si="0"/>
        <v>0</v>
      </c>
    </row>
    <row r="347" spans="1:11" ht="22.5" x14ac:dyDescent="0.2">
      <c r="A347" s="15" t="s">
        <v>324</v>
      </c>
      <c r="B347" s="16" t="s">
        <v>785</v>
      </c>
      <c r="C347" s="16" t="s">
        <v>786</v>
      </c>
      <c r="D347" s="16" t="s">
        <v>24</v>
      </c>
      <c r="E347" s="17"/>
      <c r="F347" s="17">
        <v>16658.900000000001</v>
      </c>
      <c r="G347" s="17">
        <v>12086.9</v>
      </c>
      <c r="H347" s="17">
        <v>16658.900000000001</v>
      </c>
      <c r="I347" s="17"/>
      <c r="J347" s="17">
        <v>100</v>
      </c>
      <c r="K347" s="20">
        <f t="shared" si="0"/>
        <v>0</v>
      </c>
    </row>
    <row r="348" spans="1:11" ht="22.5" x14ac:dyDescent="0.2">
      <c r="A348" s="15" t="s">
        <v>324</v>
      </c>
      <c r="B348" s="16" t="s">
        <v>787</v>
      </c>
      <c r="C348" s="16" t="s">
        <v>605</v>
      </c>
      <c r="D348" s="16" t="s">
        <v>24</v>
      </c>
      <c r="E348" s="17"/>
      <c r="F348" s="17">
        <v>22981.9</v>
      </c>
      <c r="G348" s="17">
        <v>684.53</v>
      </c>
      <c r="H348" s="17">
        <v>22981.9</v>
      </c>
      <c r="I348" s="17"/>
      <c r="J348" s="17">
        <v>100</v>
      </c>
      <c r="K348" s="20">
        <f t="shared" si="0"/>
        <v>0</v>
      </c>
    </row>
    <row r="349" spans="1:11" ht="22.5" x14ac:dyDescent="0.2">
      <c r="A349" s="15" t="s">
        <v>324</v>
      </c>
      <c r="B349" s="16" t="s">
        <v>787</v>
      </c>
      <c r="C349" s="16" t="s">
        <v>771</v>
      </c>
      <c r="D349" s="16" t="s">
        <v>24</v>
      </c>
      <c r="E349" s="17">
        <v>36899.699999999997</v>
      </c>
      <c r="F349" s="17"/>
      <c r="G349" s="17"/>
      <c r="H349" s="17"/>
      <c r="I349" s="17"/>
      <c r="J349" s="17"/>
      <c r="K349" s="20">
        <f t="shared" si="0"/>
        <v>0</v>
      </c>
    </row>
    <row r="350" spans="1:11" ht="22.5" x14ac:dyDescent="0.2">
      <c r="A350" s="15" t="s">
        <v>324</v>
      </c>
      <c r="B350" s="16" t="s">
        <v>787</v>
      </c>
      <c r="C350" s="16" t="s">
        <v>788</v>
      </c>
      <c r="D350" s="16" t="s">
        <v>24</v>
      </c>
      <c r="E350" s="17"/>
      <c r="F350" s="17">
        <v>580.9</v>
      </c>
      <c r="G350" s="17"/>
      <c r="H350" s="17"/>
      <c r="I350" s="17"/>
      <c r="J350" s="17"/>
      <c r="K350" s="20">
        <f t="shared" si="0"/>
        <v>-580.9</v>
      </c>
    </row>
    <row r="351" spans="1:11" ht="22.5" x14ac:dyDescent="0.2">
      <c r="A351" s="15" t="s">
        <v>324</v>
      </c>
      <c r="B351" s="16" t="s">
        <v>787</v>
      </c>
      <c r="C351" s="16" t="s">
        <v>1046</v>
      </c>
      <c r="D351" s="16" t="s">
        <v>24</v>
      </c>
      <c r="E351" s="17"/>
      <c r="F351" s="17">
        <v>8335</v>
      </c>
      <c r="G351" s="17"/>
      <c r="H351" s="17"/>
      <c r="I351" s="17"/>
      <c r="J351" s="17"/>
      <c r="K351" s="23">
        <f t="shared" si="0"/>
        <v>-8335</v>
      </c>
    </row>
    <row r="352" spans="1:11" ht="22.5" x14ac:dyDescent="0.2">
      <c r="A352" s="11" t="s">
        <v>321</v>
      </c>
      <c r="B352" s="12" t="s">
        <v>486</v>
      </c>
      <c r="C352" s="12"/>
      <c r="D352" s="12"/>
      <c r="E352" s="13">
        <v>176476.4</v>
      </c>
      <c r="F352" s="13"/>
      <c r="G352" s="13"/>
      <c r="H352" s="13"/>
      <c r="I352" s="13"/>
      <c r="J352" s="13"/>
    </row>
    <row r="353" spans="1:11" ht="33.75" x14ac:dyDescent="0.2">
      <c r="A353" s="11" t="s">
        <v>322</v>
      </c>
      <c r="B353" s="12" t="s">
        <v>487</v>
      </c>
      <c r="C353" s="12"/>
      <c r="D353" s="12"/>
      <c r="E353" s="13">
        <v>176476.4</v>
      </c>
      <c r="F353" s="13"/>
      <c r="G353" s="13"/>
      <c r="H353" s="13"/>
      <c r="I353" s="13"/>
      <c r="J353" s="13"/>
    </row>
    <row r="354" spans="1:11" ht="33.75" x14ac:dyDescent="0.2">
      <c r="A354" s="11" t="s">
        <v>488</v>
      </c>
      <c r="B354" s="12" t="s">
        <v>431</v>
      </c>
      <c r="C354" s="12"/>
      <c r="D354" s="12"/>
      <c r="E354" s="13">
        <v>176476.4</v>
      </c>
      <c r="F354" s="13"/>
      <c r="G354" s="13"/>
      <c r="H354" s="13"/>
      <c r="I354" s="13"/>
      <c r="J354" s="13"/>
    </row>
    <row r="355" spans="1:11" ht="33.75" x14ac:dyDescent="0.2">
      <c r="A355" s="15" t="s">
        <v>488</v>
      </c>
      <c r="B355" s="16" t="s">
        <v>697</v>
      </c>
      <c r="C355" s="16" t="s">
        <v>23</v>
      </c>
      <c r="D355" s="16" t="s">
        <v>24</v>
      </c>
      <c r="E355" s="17">
        <v>176476.4</v>
      </c>
      <c r="F355" s="17"/>
      <c r="G355" s="17"/>
      <c r="H355" s="17"/>
      <c r="I355" s="17"/>
      <c r="J355" s="17"/>
    </row>
    <row r="356" spans="1:11" s="212" customFormat="1" ht="31.9" customHeight="1" x14ac:dyDescent="0.2">
      <c r="A356" s="28" t="s">
        <v>328</v>
      </c>
      <c r="B356" s="29" t="s">
        <v>790</v>
      </c>
      <c r="C356" s="29"/>
      <c r="D356" s="29"/>
      <c r="E356" s="22">
        <v>1067250.8999999999</v>
      </c>
      <c r="F356" s="22">
        <v>1213891.6000000001</v>
      </c>
      <c r="G356" s="22">
        <v>160477.66399999999</v>
      </c>
      <c r="H356" s="22">
        <v>1213587.0079999999</v>
      </c>
      <c r="I356" s="22">
        <v>113.712</v>
      </c>
      <c r="J356" s="22">
        <v>99.974999999999994</v>
      </c>
      <c r="K356" s="216">
        <f>F356-E356</f>
        <v>146640.70000000019</v>
      </c>
    </row>
    <row r="357" spans="1:11" ht="33.75" x14ac:dyDescent="0.2">
      <c r="A357" s="11" t="s">
        <v>329</v>
      </c>
      <c r="B357" s="12" t="s">
        <v>791</v>
      </c>
      <c r="C357" s="12"/>
      <c r="D357" s="12"/>
      <c r="E357" s="13">
        <v>72611</v>
      </c>
      <c r="F357" s="13">
        <v>75083.899999999994</v>
      </c>
      <c r="G357" s="13">
        <v>6458.0680000000002</v>
      </c>
      <c r="H357" s="13">
        <v>75083.899999999994</v>
      </c>
      <c r="I357" s="13">
        <v>103.40600000000001</v>
      </c>
      <c r="J357" s="13">
        <v>100</v>
      </c>
    </row>
    <row r="358" spans="1:11" ht="33.75" x14ac:dyDescent="0.2">
      <c r="A358" s="11" t="s">
        <v>330</v>
      </c>
      <c r="B358" s="12" t="s">
        <v>792</v>
      </c>
      <c r="C358" s="12"/>
      <c r="D358" s="12"/>
      <c r="E358" s="13">
        <v>72611</v>
      </c>
      <c r="F358" s="13">
        <v>75083.899999999994</v>
      </c>
      <c r="G358" s="13">
        <v>6458.0680000000002</v>
      </c>
      <c r="H358" s="13">
        <v>75083.899999999994</v>
      </c>
      <c r="I358" s="13">
        <v>103.40600000000001</v>
      </c>
      <c r="J358" s="13">
        <v>100</v>
      </c>
    </row>
    <row r="359" spans="1:11" ht="33.75" x14ac:dyDescent="0.2">
      <c r="A359" s="15" t="s">
        <v>330</v>
      </c>
      <c r="B359" s="16" t="s">
        <v>793</v>
      </c>
      <c r="C359" s="16" t="s">
        <v>23</v>
      </c>
      <c r="D359" s="16" t="s">
        <v>24</v>
      </c>
      <c r="E359" s="17">
        <v>72611</v>
      </c>
      <c r="F359" s="17">
        <v>75083.899999999994</v>
      </c>
      <c r="G359" s="17">
        <v>6458.0680000000002</v>
      </c>
      <c r="H359" s="17">
        <v>75083.899999999994</v>
      </c>
      <c r="I359" s="17">
        <v>103.40600000000001</v>
      </c>
      <c r="J359" s="17">
        <v>100</v>
      </c>
    </row>
    <row r="360" spans="1:11" ht="33.75" x14ac:dyDescent="0.2">
      <c r="A360" s="11" t="s">
        <v>331</v>
      </c>
      <c r="B360" s="12" t="s">
        <v>794</v>
      </c>
      <c r="C360" s="12"/>
      <c r="D360" s="12"/>
      <c r="E360" s="13">
        <v>40389</v>
      </c>
      <c r="F360" s="13">
        <v>36741.9</v>
      </c>
      <c r="G360" s="13">
        <v>3675.9969999999998</v>
      </c>
      <c r="H360" s="13">
        <v>36437.307999999997</v>
      </c>
      <c r="I360" s="13">
        <v>90.215999999999994</v>
      </c>
      <c r="J360" s="13">
        <v>99.171000000000006</v>
      </c>
    </row>
    <row r="361" spans="1:11" ht="33.75" x14ac:dyDescent="0.2">
      <c r="A361" s="11" t="s">
        <v>332</v>
      </c>
      <c r="B361" s="12" t="s">
        <v>795</v>
      </c>
      <c r="C361" s="12"/>
      <c r="D361" s="12"/>
      <c r="E361" s="13">
        <v>40389</v>
      </c>
      <c r="F361" s="13">
        <v>36741.9</v>
      </c>
      <c r="G361" s="13">
        <v>3675.9969999999998</v>
      </c>
      <c r="H361" s="13">
        <v>36437.307999999997</v>
      </c>
      <c r="I361" s="13">
        <v>90.215999999999994</v>
      </c>
      <c r="J361" s="13">
        <v>99.171000000000006</v>
      </c>
    </row>
    <row r="362" spans="1:11" ht="33.75" x14ac:dyDescent="0.2">
      <c r="A362" s="15" t="s">
        <v>332</v>
      </c>
      <c r="B362" s="16" t="s">
        <v>796</v>
      </c>
      <c r="C362" s="16" t="s">
        <v>333</v>
      </c>
      <c r="D362" s="16" t="s">
        <v>24</v>
      </c>
      <c r="E362" s="17">
        <v>32914</v>
      </c>
      <c r="F362" s="17">
        <v>28208.3</v>
      </c>
      <c r="G362" s="17">
        <v>2680</v>
      </c>
      <c r="H362" s="17">
        <v>28208.3</v>
      </c>
      <c r="I362" s="17">
        <v>85.703000000000003</v>
      </c>
      <c r="J362" s="17">
        <v>100</v>
      </c>
    </row>
    <row r="363" spans="1:11" ht="33.75" x14ac:dyDescent="0.2">
      <c r="A363" s="15" t="s">
        <v>332</v>
      </c>
      <c r="B363" s="16" t="s">
        <v>797</v>
      </c>
      <c r="C363" s="16" t="s">
        <v>334</v>
      </c>
      <c r="D363" s="16" t="s">
        <v>24</v>
      </c>
      <c r="E363" s="17">
        <v>3155.1</v>
      </c>
      <c r="F363" s="17">
        <v>3898.2</v>
      </c>
      <c r="G363" s="17">
        <v>428.59199999999998</v>
      </c>
      <c r="H363" s="17">
        <v>3834.7669999999998</v>
      </c>
      <c r="I363" s="17">
        <v>121.542</v>
      </c>
      <c r="J363" s="17">
        <v>98.373000000000005</v>
      </c>
    </row>
    <row r="364" spans="1:11" ht="33.75" x14ac:dyDescent="0.2">
      <c r="A364" s="15" t="s">
        <v>332</v>
      </c>
      <c r="B364" s="16" t="s">
        <v>797</v>
      </c>
      <c r="C364" s="16" t="s">
        <v>335</v>
      </c>
      <c r="D364" s="16" t="s">
        <v>24</v>
      </c>
      <c r="E364" s="17">
        <v>629.6</v>
      </c>
      <c r="F364" s="17">
        <v>681.3</v>
      </c>
      <c r="G364" s="17">
        <v>87.367000000000004</v>
      </c>
      <c r="H364" s="17">
        <v>681.3</v>
      </c>
      <c r="I364" s="17">
        <v>108.212</v>
      </c>
      <c r="J364" s="17">
        <v>100</v>
      </c>
    </row>
    <row r="365" spans="1:11" ht="33.75" x14ac:dyDescent="0.2">
      <c r="A365" s="15" t="s">
        <v>332</v>
      </c>
      <c r="B365" s="16" t="s">
        <v>797</v>
      </c>
      <c r="C365" s="16" t="s">
        <v>336</v>
      </c>
      <c r="D365" s="16" t="s">
        <v>24</v>
      </c>
      <c r="E365" s="17">
        <v>1902.7</v>
      </c>
      <c r="F365" s="17">
        <v>2059</v>
      </c>
      <c r="G365" s="17">
        <v>284.83800000000002</v>
      </c>
      <c r="H365" s="17">
        <v>2029.9</v>
      </c>
      <c r="I365" s="17">
        <v>106.685</v>
      </c>
      <c r="J365" s="17">
        <v>98.587000000000003</v>
      </c>
    </row>
    <row r="366" spans="1:11" ht="33.75" x14ac:dyDescent="0.2">
      <c r="A366" s="15" t="s">
        <v>332</v>
      </c>
      <c r="B366" s="16" t="s">
        <v>797</v>
      </c>
      <c r="C366" s="16" t="s">
        <v>337</v>
      </c>
      <c r="D366" s="16" t="s">
        <v>24</v>
      </c>
      <c r="E366" s="17">
        <v>1259.2</v>
      </c>
      <c r="F366" s="17">
        <v>1362.6</v>
      </c>
      <c r="G366" s="17">
        <v>192.6</v>
      </c>
      <c r="H366" s="17">
        <v>1150.5419999999999</v>
      </c>
      <c r="I366" s="17">
        <v>91.370999999999995</v>
      </c>
      <c r="J366" s="17">
        <v>84.436999999999998</v>
      </c>
      <c r="K366" s="20">
        <f>H366-F366</f>
        <v>-212.05799999999999</v>
      </c>
    </row>
    <row r="367" spans="1:11" ht="33.75" x14ac:dyDescent="0.2">
      <c r="A367" s="15" t="s">
        <v>332</v>
      </c>
      <c r="B367" s="16" t="s">
        <v>797</v>
      </c>
      <c r="C367" s="16" t="s">
        <v>339</v>
      </c>
      <c r="D367" s="16" t="s">
        <v>24</v>
      </c>
      <c r="E367" s="17">
        <v>0.7</v>
      </c>
      <c r="F367" s="17">
        <v>0.7</v>
      </c>
      <c r="G367" s="17"/>
      <c r="H367" s="17">
        <v>0.7</v>
      </c>
      <c r="I367" s="17">
        <v>100</v>
      </c>
      <c r="J367" s="17">
        <v>100</v>
      </c>
    </row>
    <row r="368" spans="1:11" ht="33.75" x14ac:dyDescent="0.2">
      <c r="A368" s="15" t="s">
        <v>332</v>
      </c>
      <c r="B368" s="16" t="s">
        <v>797</v>
      </c>
      <c r="C368" s="16" t="s">
        <v>698</v>
      </c>
      <c r="D368" s="16" t="s">
        <v>24</v>
      </c>
      <c r="E368" s="17">
        <v>52.7</v>
      </c>
      <c r="F368" s="17">
        <v>56.8</v>
      </c>
      <c r="G368" s="17">
        <v>2.6</v>
      </c>
      <c r="H368" s="17">
        <v>56.8</v>
      </c>
      <c r="I368" s="17">
        <v>107.78</v>
      </c>
      <c r="J368" s="17">
        <v>100</v>
      </c>
    </row>
    <row r="369" spans="1:10" ht="33.75" x14ac:dyDescent="0.2">
      <c r="A369" s="15" t="s">
        <v>332</v>
      </c>
      <c r="B369" s="16" t="s">
        <v>798</v>
      </c>
      <c r="C369" s="16" t="s">
        <v>338</v>
      </c>
      <c r="D369" s="16" t="s">
        <v>24</v>
      </c>
      <c r="E369" s="17">
        <v>475</v>
      </c>
      <c r="F369" s="17">
        <v>475</v>
      </c>
      <c r="G369" s="17"/>
      <c r="H369" s="17">
        <v>475</v>
      </c>
      <c r="I369" s="17">
        <v>100</v>
      </c>
      <c r="J369" s="17">
        <v>100</v>
      </c>
    </row>
    <row r="370" spans="1:10" ht="45" x14ac:dyDescent="0.2">
      <c r="A370" s="11" t="s">
        <v>606</v>
      </c>
      <c r="B370" s="12" t="s">
        <v>799</v>
      </c>
      <c r="C370" s="12"/>
      <c r="D370" s="12"/>
      <c r="E370" s="13">
        <v>23.4</v>
      </c>
      <c r="F370" s="13">
        <v>23.4</v>
      </c>
      <c r="G370" s="13"/>
      <c r="H370" s="13">
        <v>23.4</v>
      </c>
      <c r="I370" s="13">
        <v>100</v>
      </c>
      <c r="J370" s="13">
        <v>100</v>
      </c>
    </row>
    <row r="371" spans="1:10" ht="56.25" x14ac:dyDescent="0.2">
      <c r="A371" s="11" t="s">
        <v>436</v>
      </c>
      <c r="B371" s="12" t="s">
        <v>800</v>
      </c>
      <c r="C371" s="12"/>
      <c r="D371" s="12"/>
      <c r="E371" s="13">
        <v>23.4</v>
      </c>
      <c r="F371" s="13">
        <v>23.4</v>
      </c>
      <c r="G371" s="13"/>
      <c r="H371" s="13">
        <v>23.4</v>
      </c>
      <c r="I371" s="13">
        <v>100</v>
      </c>
      <c r="J371" s="13">
        <v>100</v>
      </c>
    </row>
    <row r="372" spans="1:10" ht="56.25" x14ac:dyDescent="0.2">
      <c r="A372" s="15" t="s">
        <v>436</v>
      </c>
      <c r="B372" s="16" t="s">
        <v>801</v>
      </c>
      <c r="C372" s="16" t="s">
        <v>23</v>
      </c>
      <c r="D372" s="16" t="s">
        <v>24</v>
      </c>
      <c r="E372" s="17">
        <v>23.4</v>
      </c>
      <c r="F372" s="17">
        <v>23.4</v>
      </c>
      <c r="G372" s="17"/>
      <c r="H372" s="17">
        <v>23.4</v>
      </c>
      <c r="I372" s="17">
        <v>100</v>
      </c>
      <c r="J372" s="17">
        <v>100</v>
      </c>
    </row>
    <row r="373" spans="1:10" ht="22.5" x14ac:dyDescent="0.2">
      <c r="A373" s="11" t="s">
        <v>341</v>
      </c>
      <c r="B373" s="12" t="s">
        <v>802</v>
      </c>
      <c r="C373" s="12"/>
      <c r="D373" s="12"/>
      <c r="E373" s="13">
        <v>954227.5</v>
      </c>
      <c r="F373" s="13">
        <v>1102042.3999999999</v>
      </c>
      <c r="G373" s="13">
        <v>150343.6</v>
      </c>
      <c r="H373" s="13">
        <v>1102042.3999999999</v>
      </c>
      <c r="I373" s="13">
        <v>115.491</v>
      </c>
      <c r="J373" s="13">
        <v>100</v>
      </c>
    </row>
    <row r="374" spans="1:10" ht="22.5" x14ac:dyDescent="0.2">
      <c r="A374" s="11" t="s">
        <v>342</v>
      </c>
      <c r="B374" s="12" t="s">
        <v>803</v>
      </c>
      <c r="C374" s="12"/>
      <c r="D374" s="12"/>
      <c r="E374" s="13">
        <v>954227.5</v>
      </c>
      <c r="F374" s="13">
        <v>1102042.3999999999</v>
      </c>
      <c r="G374" s="13">
        <v>150343.6</v>
      </c>
      <c r="H374" s="13">
        <v>1102042.3999999999</v>
      </c>
      <c r="I374" s="13">
        <v>115.491</v>
      </c>
      <c r="J374" s="13">
        <v>100</v>
      </c>
    </row>
    <row r="375" spans="1:10" ht="22.5" x14ac:dyDescent="0.2">
      <c r="A375" s="15" t="s">
        <v>342</v>
      </c>
      <c r="B375" s="16" t="s">
        <v>804</v>
      </c>
      <c r="C375" s="16" t="s">
        <v>340</v>
      </c>
      <c r="D375" s="16" t="s">
        <v>24</v>
      </c>
      <c r="E375" s="17">
        <v>682799.4</v>
      </c>
      <c r="F375" s="17">
        <v>775354.7</v>
      </c>
      <c r="G375" s="17">
        <v>104924.7</v>
      </c>
      <c r="H375" s="17">
        <v>775354.7</v>
      </c>
      <c r="I375" s="17">
        <v>113.55500000000001</v>
      </c>
      <c r="J375" s="17">
        <v>100</v>
      </c>
    </row>
    <row r="376" spans="1:10" ht="22.5" x14ac:dyDescent="0.2">
      <c r="A376" s="15" t="s">
        <v>342</v>
      </c>
      <c r="B376" s="16" t="s">
        <v>804</v>
      </c>
      <c r="C376" s="16" t="s">
        <v>343</v>
      </c>
      <c r="D376" s="16" t="s">
        <v>24</v>
      </c>
      <c r="E376" s="17">
        <v>271428.09999999998</v>
      </c>
      <c r="F376" s="17">
        <v>326687.7</v>
      </c>
      <c r="G376" s="17">
        <v>45418.9</v>
      </c>
      <c r="H376" s="17">
        <v>326687.7</v>
      </c>
      <c r="I376" s="17">
        <v>120.35899999999999</v>
      </c>
      <c r="J376" s="17">
        <v>100</v>
      </c>
    </row>
    <row r="377" spans="1:10" s="212" customFormat="1" ht="31.9" customHeight="1" x14ac:dyDescent="0.2">
      <c r="A377" s="28" t="s">
        <v>344</v>
      </c>
      <c r="B377" s="29" t="s">
        <v>805</v>
      </c>
      <c r="C377" s="29"/>
      <c r="D377" s="29"/>
      <c r="E377" s="22">
        <v>12728.539000000001</v>
      </c>
      <c r="F377" s="22">
        <v>87473.885999999999</v>
      </c>
      <c r="G377" s="22">
        <v>1723.221</v>
      </c>
      <c r="H377" s="22">
        <v>42158.855000000003</v>
      </c>
      <c r="I377" s="22">
        <v>331.21499999999997</v>
      </c>
      <c r="J377" s="22">
        <v>48.195999999999998</v>
      </c>
    </row>
    <row r="378" spans="1:10" s="212" customFormat="1" ht="56.45" customHeight="1" x14ac:dyDescent="0.2">
      <c r="A378" s="28" t="s">
        <v>345</v>
      </c>
      <c r="B378" s="29" t="s">
        <v>806</v>
      </c>
      <c r="C378" s="29"/>
      <c r="D378" s="29"/>
      <c r="E378" s="22">
        <v>12728.539000000001</v>
      </c>
      <c r="F378" s="22">
        <v>12432.986000000001</v>
      </c>
      <c r="G378" s="22">
        <v>983.92100000000005</v>
      </c>
      <c r="H378" s="22">
        <v>12432.986000000001</v>
      </c>
      <c r="I378" s="22">
        <v>97.677999999999997</v>
      </c>
      <c r="J378" s="22">
        <v>100</v>
      </c>
    </row>
    <row r="379" spans="1:10" ht="56.25" x14ac:dyDescent="0.2">
      <c r="A379" s="11" t="s">
        <v>346</v>
      </c>
      <c r="B379" s="12" t="s">
        <v>807</v>
      </c>
      <c r="C379" s="12"/>
      <c r="D379" s="12"/>
      <c r="E379" s="13">
        <v>12728.539000000001</v>
      </c>
      <c r="F379" s="13">
        <v>12432.986000000001</v>
      </c>
      <c r="G379" s="13">
        <v>983.92100000000005</v>
      </c>
      <c r="H379" s="13">
        <v>12432.986000000001</v>
      </c>
      <c r="I379" s="13">
        <v>97.677999999999997</v>
      </c>
      <c r="J379" s="13">
        <v>100</v>
      </c>
    </row>
    <row r="380" spans="1:10" ht="56.25" x14ac:dyDescent="0.2">
      <c r="A380" s="15" t="s">
        <v>346</v>
      </c>
      <c r="B380" s="16" t="s">
        <v>808</v>
      </c>
      <c r="C380" s="16" t="s">
        <v>607</v>
      </c>
      <c r="D380" s="16" t="s">
        <v>24</v>
      </c>
      <c r="E380" s="17">
        <v>728.48199999999997</v>
      </c>
      <c r="F380" s="17">
        <v>728.48199999999997</v>
      </c>
      <c r="G380" s="17">
        <v>51.168999999999997</v>
      </c>
      <c r="H380" s="17">
        <v>728.48199999999997</v>
      </c>
      <c r="I380" s="17">
        <v>100</v>
      </c>
      <c r="J380" s="17">
        <v>100</v>
      </c>
    </row>
    <row r="381" spans="1:10" ht="56.25" x14ac:dyDescent="0.2">
      <c r="A381" s="15" t="s">
        <v>346</v>
      </c>
      <c r="B381" s="16" t="s">
        <v>808</v>
      </c>
      <c r="C381" s="16" t="s">
        <v>348</v>
      </c>
      <c r="D381" s="16" t="s">
        <v>24</v>
      </c>
      <c r="E381" s="17">
        <v>612.16899999999998</v>
      </c>
      <c r="F381" s="17">
        <v>612.16899999999998</v>
      </c>
      <c r="G381" s="17">
        <v>42.981999999999999</v>
      </c>
      <c r="H381" s="17">
        <v>612.16899999999998</v>
      </c>
      <c r="I381" s="17">
        <v>100</v>
      </c>
      <c r="J381" s="17">
        <v>100</v>
      </c>
    </row>
    <row r="382" spans="1:10" ht="56.25" x14ac:dyDescent="0.2">
      <c r="A382" s="15" t="s">
        <v>346</v>
      </c>
      <c r="B382" s="16" t="s">
        <v>809</v>
      </c>
      <c r="C382" s="16" t="s">
        <v>607</v>
      </c>
      <c r="D382" s="16" t="s">
        <v>24</v>
      </c>
      <c r="E382" s="17">
        <v>9478.2080000000005</v>
      </c>
      <c r="F382" s="17">
        <v>9478.2080000000005</v>
      </c>
      <c r="G382" s="17">
        <v>786.45299999999997</v>
      </c>
      <c r="H382" s="17">
        <v>9478.2080000000005</v>
      </c>
      <c r="I382" s="17">
        <v>100</v>
      </c>
      <c r="J382" s="17">
        <v>100</v>
      </c>
    </row>
    <row r="383" spans="1:10" ht="56.25" x14ac:dyDescent="0.2">
      <c r="A383" s="15" t="s">
        <v>346</v>
      </c>
      <c r="B383" s="16" t="s">
        <v>810</v>
      </c>
      <c r="C383" s="16" t="s">
        <v>608</v>
      </c>
      <c r="D383" s="16" t="s">
        <v>24</v>
      </c>
      <c r="E383" s="17">
        <v>189.36500000000001</v>
      </c>
      <c r="F383" s="17">
        <v>189.36500000000001</v>
      </c>
      <c r="G383" s="17">
        <v>13.798999999999999</v>
      </c>
      <c r="H383" s="17">
        <v>189.36500000000001</v>
      </c>
      <c r="I383" s="17">
        <v>100</v>
      </c>
      <c r="J383" s="17">
        <v>100</v>
      </c>
    </row>
    <row r="384" spans="1:10" ht="56.25" x14ac:dyDescent="0.2">
      <c r="A384" s="15" t="s">
        <v>346</v>
      </c>
      <c r="B384" s="16" t="s">
        <v>811</v>
      </c>
      <c r="C384" s="16" t="s">
        <v>607</v>
      </c>
      <c r="D384" s="16" t="s">
        <v>24</v>
      </c>
      <c r="E384" s="17">
        <v>1281.201</v>
      </c>
      <c r="F384" s="17">
        <v>1424.7619999999999</v>
      </c>
      <c r="G384" s="17">
        <v>89.518000000000001</v>
      </c>
      <c r="H384" s="17">
        <v>1424.7619999999999</v>
      </c>
      <c r="I384" s="17">
        <v>111.205</v>
      </c>
      <c r="J384" s="17">
        <v>100</v>
      </c>
    </row>
    <row r="385" spans="1:11" ht="56.25" x14ac:dyDescent="0.2">
      <c r="A385" s="15" t="s">
        <v>346</v>
      </c>
      <c r="B385" s="16" t="s">
        <v>812</v>
      </c>
      <c r="C385" s="16" t="s">
        <v>347</v>
      </c>
      <c r="D385" s="16" t="s">
        <v>24</v>
      </c>
      <c r="E385" s="17">
        <v>439.11399999999998</v>
      </c>
      <c r="F385" s="17"/>
      <c r="G385" s="17"/>
      <c r="H385" s="17"/>
      <c r="I385" s="17"/>
      <c r="J385" s="17"/>
    </row>
    <row r="386" spans="1:11" s="212" customFormat="1" ht="42" customHeight="1" x14ac:dyDescent="0.2">
      <c r="A386" s="28" t="s">
        <v>813</v>
      </c>
      <c r="B386" s="29" t="s">
        <v>814</v>
      </c>
      <c r="C386" s="29"/>
      <c r="D386" s="29"/>
      <c r="E386" s="22"/>
      <c r="F386" s="22">
        <v>75040.899999999994</v>
      </c>
      <c r="G386" s="22">
        <v>739.3</v>
      </c>
      <c r="H386" s="22">
        <v>29725.87</v>
      </c>
      <c r="I386" s="22"/>
      <c r="J386" s="22">
        <v>39.613</v>
      </c>
      <c r="K386" s="216">
        <f>F386-H386</f>
        <v>45315.03</v>
      </c>
    </row>
    <row r="387" spans="1:11" ht="22.5" x14ac:dyDescent="0.2">
      <c r="A387" s="11" t="s">
        <v>815</v>
      </c>
      <c r="B387" s="12" t="s">
        <v>816</v>
      </c>
      <c r="C387" s="12"/>
      <c r="D387" s="12"/>
      <c r="E387" s="13"/>
      <c r="F387" s="13">
        <v>75040.899999999994</v>
      </c>
      <c r="G387" s="13">
        <v>739.3</v>
      </c>
      <c r="H387" s="13">
        <v>29725.87</v>
      </c>
      <c r="I387" s="13"/>
      <c r="J387" s="13">
        <v>39.613</v>
      </c>
    </row>
    <row r="388" spans="1:11" ht="22.5" x14ac:dyDescent="0.2">
      <c r="A388" s="15" t="s">
        <v>815</v>
      </c>
      <c r="B388" s="16" t="s">
        <v>817</v>
      </c>
      <c r="C388" s="16" t="s">
        <v>818</v>
      </c>
      <c r="D388" s="16" t="s">
        <v>24</v>
      </c>
      <c r="E388" s="17"/>
      <c r="F388" s="17">
        <v>39516.199999999997</v>
      </c>
      <c r="G388" s="17">
        <v>520.97400000000005</v>
      </c>
      <c r="H388" s="17">
        <v>29507.544000000002</v>
      </c>
      <c r="I388" s="17"/>
      <c r="J388" s="17">
        <v>74.671999999999997</v>
      </c>
      <c r="K388" s="20">
        <f>H388-F388</f>
        <v>-10008.655999999995</v>
      </c>
    </row>
    <row r="389" spans="1:11" ht="22.5" x14ac:dyDescent="0.2">
      <c r="A389" s="15" t="s">
        <v>815</v>
      </c>
      <c r="B389" s="16" t="s">
        <v>817</v>
      </c>
      <c r="C389" s="16" t="s">
        <v>819</v>
      </c>
      <c r="D389" s="16" t="s">
        <v>24</v>
      </c>
      <c r="E389" s="17"/>
      <c r="F389" s="17">
        <v>35524.699999999997</v>
      </c>
      <c r="G389" s="17">
        <v>218.32599999999999</v>
      </c>
      <c r="H389" s="17">
        <v>218.32599999999999</v>
      </c>
      <c r="I389" s="17"/>
      <c r="J389" s="17">
        <v>0.61499999999999999</v>
      </c>
      <c r="K389" s="20">
        <f>H389-F389</f>
        <v>-35306.373999999996</v>
      </c>
    </row>
    <row r="390" spans="1:11" s="212" customFormat="1" ht="42" customHeight="1" x14ac:dyDescent="0.2">
      <c r="A390" s="28" t="s">
        <v>349</v>
      </c>
      <c r="B390" s="29" t="s">
        <v>350</v>
      </c>
      <c r="C390" s="29"/>
      <c r="D390" s="29"/>
      <c r="E390" s="22"/>
      <c r="F390" s="22">
        <v>2526.62</v>
      </c>
      <c r="G390" s="22">
        <v>-2.4500000000000002</v>
      </c>
      <c r="H390" s="22">
        <v>2524.17</v>
      </c>
      <c r="I390" s="22"/>
      <c r="J390" s="22">
        <v>99.903000000000006</v>
      </c>
    </row>
    <row r="391" spans="1:11" ht="22.5" x14ac:dyDescent="0.2">
      <c r="A391" s="11" t="s">
        <v>351</v>
      </c>
      <c r="B391" s="12" t="s">
        <v>820</v>
      </c>
      <c r="C391" s="12"/>
      <c r="D391" s="12"/>
      <c r="E391" s="13"/>
      <c r="F391" s="13">
        <v>2526.62</v>
      </c>
      <c r="G391" s="13">
        <v>-2.4500000000000002</v>
      </c>
      <c r="H391" s="13">
        <v>2524.17</v>
      </c>
      <c r="I391" s="13"/>
      <c r="J391" s="13">
        <v>99.903000000000006</v>
      </c>
    </row>
    <row r="392" spans="1:11" ht="45" x14ac:dyDescent="0.2">
      <c r="A392" s="11" t="s">
        <v>352</v>
      </c>
      <c r="B392" s="12" t="s">
        <v>821</v>
      </c>
      <c r="C392" s="12"/>
      <c r="D392" s="12"/>
      <c r="E392" s="13"/>
      <c r="F392" s="13">
        <v>0.3</v>
      </c>
      <c r="G392" s="13"/>
      <c r="H392" s="13">
        <v>0.3</v>
      </c>
      <c r="I392" s="13"/>
      <c r="J392" s="13">
        <v>100</v>
      </c>
    </row>
    <row r="393" spans="1:11" ht="33.75" x14ac:dyDescent="0.2">
      <c r="A393" s="15" t="s">
        <v>352</v>
      </c>
      <c r="B393" s="16" t="s">
        <v>822</v>
      </c>
      <c r="C393" s="16" t="s">
        <v>23</v>
      </c>
      <c r="D393" s="16" t="s">
        <v>24</v>
      </c>
      <c r="E393" s="17"/>
      <c r="F393" s="17">
        <v>0.3</v>
      </c>
      <c r="G393" s="17"/>
      <c r="H393" s="17">
        <v>0.3</v>
      </c>
      <c r="I393" s="17"/>
      <c r="J393" s="17">
        <v>100</v>
      </c>
    </row>
    <row r="394" spans="1:11" ht="22.5" x14ac:dyDescent="0.2">
      <c r="A394" s="11" t="s">
        <v>351</v>
      </c>
      <c r="B394" s="12" t="s">
        <v>823</v>
      </c>
      <c r="C394" s="12"/>
      <c r="D394" s="12"/>
      <c r="E394" s="13"/>
      <c r="F394" s="13">
        <v>2526.3200000000002</v>
      </c>
      <c r="G394" s="13">
        <v>-2.4500000000000002</v>
      </c>
      <c r="H394" s="13">
        <v>2523.87</v>
      </c>
      <c r="I394" s="13"/>
      <c r="J394" s="13">
        <v>99.903000000000006</v>
      </c>
    </row>
    <row r="395" spans="1:11" ht="22.5" x14ac:dyDescent="0.2">
      <c r="A395" s="15" t="s">
        <v>351</v>
      </c>
      <c r="B395" s="16" t="s">
        <v>824</v>
      </c>
      <c r="C395" s="16" t="s">
        <v>23</v>
      </c>
      <c r="D395" s="16" t="s">
        <v>24</v>
      </c>
      <c r="E395" s="17"/>
      <c r="F395" s="17">
        <v>10</v>
      </c>
      <c r="G395" s="17"/>
      <c r="H395" s="17">
        <v>10</v>
      </c>
      <c r="I395" s="17"/>
      <c r="J395" s="17">
        <v>100</v>
      </c>
    </row>
    <row r="396" spans="1:11" ht="22.5" x14ac:dyDescent="0.2">
      <c r="A396" s="15" t="s">
        <v>351</v>
      </c>
      <c r="B396" s="16" t="s">
        <v>825</v>
      </c>
      <c r="C396" s="16" t="s">
        <v>23</v>
      </c>
      <c r="D396" s="16" t="s">
        <v>24</v>
      </c>
      <c r="E396" s="17"/>
      <c r="F396" s="17">
        <v>44.5</v>
      </c>
      <c r="G396" s="17">
        <v>-2.4500000000000002</v>
      </c>
      <c r="H396" s="17">
        <v>42.05</v>
      </c>
      <c r="I396" s="17"/>
      <c r="J396" s="17">
        <v>94.494</v>
      </c>
    </row>
    <row r="397" spans="1:11" ht="22.5" x14ac:dyDescent="0.2">
      <c r="A397" s="15" t="s">
        <v>351</v>
      </c>
      <c r="B397" s="16" t="s">
        <v>1047</v>
      </c>
      <c r="C397" s="16" t="s">
        <v>23</v>
      </c>
      <c r="D397" s="16" t="s">
        <v>24</v>
      </c>
      <c r="E397" s="17"/>
      <c r="F397" s="17">
        <v>2471.8200000000002</v>
      </c>
      <c r="G397" s="17"/>
      <c r="H397" s="17">
        <v>2471.8200000000002</v>
      </c>
      <c r="I397" s="17"/>
      <c r="J397" s="17">
        <v>100</v>
      </c>
    </row>
    <row r="398" spans="1:11" s="212" customFormat="1" ht="42" customHeight="1" x14ac:dyDescent="0.2">
      <c r="A398" s="28" t="s">
        <v>353</v>
      </c>
      <c r="B398" s="29" t="s">
        <v>354</v>
      </c>
      <c r="C398" s="29"/>
      <c r="D398" s="29"/>
      <c r="E398" s="22"/>
      <c r="F398" s="22">
        <v>-8327.6790000000001</v>
      </c>
      <c r="G398" s="22">
        <v>-7.476</v>
      </c>
      <c r="H398" s="22">
        <v>-8335.1550000000007</v>
      </c>
      <c r="I398" s="22"/>
      <c r="J398" s="22">
        <v>100.09</v>
      </c>
      <c r="K398" s="216">
        <f>F398+F394+F386</f>
        <v>69239.540999999997</v>
      </c>
    </row>
    <row r="399" spans="1:11" ht="45" x14ac:dyDescent="0.2">
      <c r="A399" s="11" t="s">
        <v>355</v>
      </c>
      <c r="B399" s="12" t="s">
        <v>826</v>
      </c>
      <c r="C399" s="12"/>
      <c r="D399" s="12"/>
      <c r="E399" s="13"/>
      <c r="F399" s="13">
        <v>-8327.6790000000001</v>
      </c>
      <c r="G399" s="13">
        <v>-7.476</v>
      </c>
      <c r="H399" s="13">
        <v>-8335.1550000000007</v>
      </c>
      <c r="I399" s="13"/>
      <c r="J399" s="13">
        <v>100.09</v>
      </c>
    </row>
    <row r="400" spans="1:11" ht="45" x14ac:dyDescent="0.2">
      <c r="A400" s="11" t="s">
        <v>433</v>
      </c>
      <c r="B400" s="12" t="s">
        <v>827</v>
      </c>
      <c r="C400" s="12"/>
      <c r="D400" s="12"/>
      <c r="E400" s="13"/>
      <c r="F400" s="13">
        <v>-8327.6790000000001</v>
      </c>
      <c r="G400" s="13">
        <v>-7.476</v>
      </c>
      <c r="H400" s="13">
        <v>-8335.1550000000007</v>
      </c>
      <c r="I400" s="13"/>
      <c r="J400" s="13">
        <v>100.09</v>
      </c>
    </row>
    <row r="401" spans="1:11" ht="45" x14ac:dyDescent="0.2">
      <c r="A401" s="15" t="s">
        <v>433</v>
      </c>
      <c r="B401" s="16" t="s">
        <v>828</v>
      </c>
      <c r="C401" s="16" t="s">
        <v>23</v>
      </c>
      <c r="D401" s="16" t="s">
        <v>24</v>
      </c>
      <c r="E401" s="17"/>
      <c r="F401" s="17">
        <v>-6967.3879999999999</v>
      </c>
      <c r="G401" s="17">
        <v>-7.476</v>
      </c>
      <c r="H401" s="17">
        <v>-6974.8630000000003</v>
      </c>
      <c r="I401" s="17"/>
      <c r="J401" s="17">
        <v>100.107</v>
      </c>
    </row>
    <row r="402" spans="1:11" ht="45" x14ac:dyDescent="0.2">
      <c r="A402" s="15" t="s">
        <v>433</v>
      </c>
      <c r="B402" s="16" t="s">
        <v>829</v>
      </c>
      <c r="C402" s="16" t="s">
        <v>23</v>
      </c>
      <c r="D402" s="16" t="s">
        <v>24</v>
      </c>
      <c r="E402" s="17"/>
      <c r="F402" s="17">
        <v>-444.61399999999998</v>
      </c>
      <c r="G402" s="17"/>
      <c r="H402" s="17">
        <v>-444.61399999999998</v>
      </c>
      <c r="I402" s="17"/>
      <c r="J402" s="17">
        <v>100</v>
      </c>
    </row>
    <row r="403" spans="1:11" ht="45" x14ac:dyDescent="0.2">
      <c r="A403" s="15" t="s">
        <v>433</v>
      </c>
      <c r="B403" s="16" t="s">
        <v>830</v>
      </c>
      <c r="C403" s="16" t="s">
        <v>23</v>
      </c>
      <c r="D403" s="16" t="s">
        <v>24</v>
      </c>
      <c r="E403" s="17"/>
      <c r="F403" s="17">
        <v>-751.18</v>
      </c>
      <c r="G403" s="17"/>
      <c r="H403" s="17">
        <v>-751.18</v>
      </c>
      <c r="I403" s="17"/>
      <c r="J403" s="17">
        <v>100</v>
      </c>
    </row>
    <row r="404" spans="1:11" ht="45" x14ac:dyDescent="0.2">
      <c r="A404" s="15" t="s">
        <v>433</v>
      </c>
      <c r="B404" s="16" t="s">
        <v>831</v>
      </c>
      <c r="C404" s="16" t="s">
        <v>23</v>
      </c>
      <c r="D404" s="16" t="s">
        <v>24</v>
      </c>
      <c r="E404" s="17"/>
      <c r="F404" s="17">
        <v>-96.625</v>
      </c>
      <c r="G404" s="17"/>
      <c r="H404" s="17">
        <v>-96.625</v>
      </c>
      <c r="I404" s="17"/>
      <c r="J404" s="17">
        <v>100</v>
      </c>
    </row>
    <row r="405" spans="1:11" ht="45" x14ac:dyDescent="0.2">
      <c r="A405" s="15" t="s">
        <v>433</v>
      </c>
      <c r="B405" s="16" t="s">
        <v>832</v>
      </c>
      <c r="C405" s="16" t="s">
        <v>23</v>
      </c>
      <c r="D405" s="16" t="s">
        <v>24</v>
      </c>
      <c r="E405" s="17"/>
      <c r="F405" s="17">
        <v>-66.186999999999998</v>
      </c>
      <c r="G405" s="17"/>
      <c r="H405" s="17">
        <v>-66.186999999999998</v>
      </c>
      <c r="I405" s="17"/>
      <c r="J405" s="17">
        <v>100</v>
      </c>
    </row>
    <row r="406" spans="1:11" ht="45" x14ac:dyDescent="0.2">
      <c r="A406" s="15" t="s">
        <v>433</v>
      </c>
      <c r="B406" s="16" t="s">
        <v>833</v>
      </c>
      <c r="C406" s="16" t="s">
        <v>23</v>
      </c>
      <c r="D406" s="16" t="s">
        <v>24</v>
      </c>
      <c r="E406" s="17"/>
      <c r="F406" s="17">
        <v>-1.6859999999999999</v>
      </c>
      <c r="G406" s="17"/>
      <c r="H406" s="17">
        <v>-1.6859999999999999</v>
      </c>
      <c r="I406" s="17"/>
      <c r="J406" s="17">
        <v>100</v>
      </c>
    </row>
    <row r="407" spans="1:11" s="212" customFormat="1" ht="27" customHeight="1" x14ac:dyDescent="0.2">
      <c r="A407" s="28" t="s">
        <v>356</v>
      </c>
      <c r="B407" s="29"/>
      <c r="C407" s="29"/>
      <c r="D407" s="29"/>
      <c r="E407" s="22">
        <v>2003471.6939999999</v>
      </c>
      <c r="F407" s="22">
        <v>2537751.568</v>
      </c>
      <c r="G407" s="22">
        <v>330489.95600000001</v>
      </c>
      <c r="H407" s="22">
        <v>2314139.6660000002</v>
      </c>
      <c r="I407" s="22">
        <v>115.50700000000001</v>
      </c>
      <c r="J407" s="22">
        <v>91.188999999999993</v>
      </c>
      <c r="K407" s="216">
        <f>F407-E407</f>
        <v>534279.87400000007</v>
      </c>
    </row>
  </sheetData>
  <mergeCells count="12">
    <mergeCell ref="G9:G10"/>
    <mergeCell ref="H9:H10"/>
    <mergeCell ref="A2:H2"/>
    <mergeCell ref="A4:J4"/>
    <mergeCell ref="A5:J5"/>
    <mergeCell ref="B7:J7"/>
    <mergeCell ref="A9:A10"/>
    <mergeCell ref="B9:B10"/>
    <mergeCell ref="C9:C10"/>
    <mergeCell ref="D9:D10"/>
    <mergeCell ref="E9:E10"/>
    <mergeCell ref="F9:F10"/>
  </mergeCells>
  <pageMargins left="0.59055118110236227" right="0.59055118110236227" top="0.59055118110236227" bottom="0.59055118110236227" header="0" footer="0"/>
  <pageSetup paperSize="9"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0"/>
  <sheetViews>
    <sheetView showGridLines="0" workbookViewId="0">
      <pane ySplit="12" topLeftCell="A441" activePane="bottomLeft" state="frozen"/>
      <selection pane="bottomLeft" activeCell="F246" sqref="F246"/>
    </sheetView>
  </sheetViews>
  <sheetFormatPr defaultRowHeight="12.75" customHeight="1" x14ac:dyDescent="0.2"/>
  <cols>
    <col min="1" max="1" width="44.7109375" customWidth="1"/>
    <col min="2" max="2" width="21.5703125" customWidth="1"/>
    <col min="3" max="4" width="10.7109375" customWidth="1"/>
    <col min="5" max="10" width="16.7109375" customWidth="1"/>
    <col min="11" max="11" width="10.85546875" bestFit="1" customWidth="1"/>
    <col min="12" max="12" width="15" customWidth="1"/>
  </cols>
  <sheetData>
    <row r="1" spans="1:13" ht="12.75" customHeight="1" x14ac:dyDescent="0.2">
      <c r="A1" s="1" t="s">
        <v>2</v>
      </c>
      <c r="B1" s="1"/>
      <c r="C1" s="1"/>
      <c r="D1" s="1"/>
      <c r="E1" s="1"/>
      <c r="F1" s="1"/>
      <c r="G1" s="1"/>
      <c r="H1" s="1"/>
      <c r="I1" s="2"/>
      <c r="J1" s="3"/>
    </row>
    <row r="2" spans="1:13" ht="12.75" customHeight="1" x14ac:dyDescent="0.2">
      <c r="A2" s="228" t="s">
        <v>0</v>
      </c>
      <c r="B2" s="228"/>
      <c r="C2" s="228"/>
      <c r="D2" s="228"/>
      <c r="E2" s="228"/>
      <c r="F2" s="228"/>
      <c r="G2" s="228"/>
      <c r="H2" s="228"/>
      <c r="I2" s="4" t="s">
        <v>3</v>
      </c>
      <c r="J2" s="5" t="s">
        <v>1048</v>
      </c>
    </row>
    <row r="3" spans="1:13" ht="12.75" customHeight="1" x14ac:dyDescent="0.2">
      <c r="A3" s="6"/>
      <c r="B3" s="7"/>
      <c r="C3" s="7"/>
      <c r="D3" s="7"/>
      <c r="E3" s="7"/>
      <c r="F3" s="7"/>
      <c r="G3" s="7"/>
      <c r="H3" s="6"/>
      <c r="I3" s="8"/>
      <c r="J3" s="6"/>
    </row>
    <row r="4" spans="1:13" ht="16.5" customHeight="1" x14ac:dyDescent="0.25">
      <c r="A4" s="229" t="s">
        <v>1</v>
      </c>
      <c r="B4" s="229"/>
      <c r="C4" s="229"/>
      <c r="D4" s="229"/>
      <c r="E4" s="229"/>
      <c r="F4" s="229"/>
      <c r="G4" s="229"/>
      <c r="H4" s="229"/>
      <c r="I4" s="229"/>
      <c r="J4" s="229"/>
    </row>
    <row r="5" spans="1:13" ht="18" customHeight="1" x14ac:dyDescent="0.25">
      <c r="A5" s="229" t="s">
        <v>564</v>
      </c>
      <c r="B5" s="229"/>
      <c r="C5" s="229"/>
      <c r="D5" s="229"/>
      <c r="E5" s="229"/>
      <c r="F5" s="229"/>
      <c r="G5" s="229"/>
      <c r="H5" s="229"/>
      <c r="I5" s="229"/>
      <c r="J5" s="229"/>
    </row>
    <row r="6" spans="1:13" ht="12.75" customHeight="1" x14ac:dyDescent="0.2">
      <c r="A6" s="6"/>
      <c r="B6" s="7"/>
      <c r="C6" s="7"/>
      <c r="D6" s="7"/>
      <c r="E6" s="7"/>
      <c r="F6" s="7"/>
      <c r="G6" s="7"/>
      <c r="H6" s="6"/>
      <c r="I6" s="8"/>
      <c r="J6" s="6"/>
    </row>
    <row r="7" spans="1:13" x14ac:dyDescent="0.2">
      <c r="A7" s="9" t="s">
        <v>4</v>
      </c>
      <c r="B7" s="230" t="s">
        <v>5</v>
      </c>
      <c r="C7" s="230"/>
      <c r="D7" s="230"/>
      <c r="E7" s="230"/>
      <c r="F7" s="230"/>
      <c r="G7" s="230"/>
      <c r="H7" s="230"/>
      <c r="I7" s="230"/>
      <c r="J7" s="230"/>
    </row>
    <row r="8" spans="1:13" x14ac:dyDescent="0.2">
      <c r="A8" s="9" t="s">
        <v>565</v>
      </c>
      <c r="B8" s="230" t="s">
        <v>1049</v>
      </c>
      <c r="C8" s="230"/>
      <c r="D8" s="230"/>
      <c r="E8" s="230"/>
      <c r="F8" s="230"/>
      <c r="G8" s="230"/>
      <c r="H8" s="230"/>
      <c r="I8" s="230"/>
      <c r="J8" s="230"/>
    </row>
    <row r="9" spans="1:13" x14ac:dyDescent="0.2">
      <c r="A9" s="9" t="s">
        <v>566</v>
      </c>
      <c r="B9" s="230" t="s">
        <v>1050</v>
      </c>
      <c r="C9" s="230"/>
      <c r="D9" s="230"/>
      <c r="E9" s="230"/>
      <c r="F9" s="230"/>
      <c r="G9" s="230"/>
      <c r="H9" s="230"/>
      <c r="I9" s="230"/>
      <c r="J9" s="230"/>
    </row>
    <row r="10" spans="1:13" ht="12.75" customHeight="1" x14ac:dyDescent="0.2">
      <c r="A10" s="6"/>
      <c r="B10" s="7"/>
      <c r="C10" s="7"/>
      <c r="D10" s="7"/>
      <c r="E10" s="7"/>
      <c r="F10" s="7"/>
      <c r="G10" s="7"/>
      <c r="H10" s="24">
        <f>H15-H44</f>
        <v>315624.38</v>
      </c>
      <c r="I10" s="8" t="s">
        <v>439</v>
      </c>
      <c r="J10" s="6"/>
    </row>
    <row r="11" spans="1:13" ht="39.75" customHeight="1" x14ac:dyDescent="0.2">
      <c r="A11" s="227" t="s">
        <v>6</v>
      </c>
      <c r="B11" s="227" t="s">
        <v>7</v>
      </c>
      <c r="C11" s="227" t="s">
        <v>8</v>
      </c>
      <c r="D11" s="227" t="s">
        <v>9</v>
      </c>
      <c r="E11" s="227" t="s">
        <v>10</v>
      </c>
      <c r="F11" s="227" t="s">
        <v>11</v>
      </c>
      <c r="G11" s="227" t="s">
        <v>567</v>
      </c>
      <c r="H11" s="227" t="s">
        <v>1051</v>
      </c>
      <c r="I11" s="10" t="s">
        <v>12</v>
      </c>
      <c r="J11" s="10" t="s">
        <v>14</v>
      </c>
    </row>
    <row r="12" spans="1:13" ht="13.35" customHeight="1" x14ac:dyDescent="0.2">
      <c r="A12" s="227"/>
      <c r="B12" s="227"/>
      <c r="C12" s="227"/>
      <c r="D12" s="227"/>
      <c r="E12" s="227"/>
      <c r="F12" s="227"/>
      <c r="G12" s="227"/>
      <c r="H12" s="227"/>
      <c r="I12" s="10" t="s">
        <v>13</v>
      </c>
      <c r="J12" s="10" t="s">
        <v>13</v>
      </c>
    </row>
    <row r="13" spans="1:13" ht="18" customHeight="1" x14ac:dyDescent="0.2">
      <c r="A13" s="25" t="s">
        <v>15</v>
      </c>
      <c r="B13" s="26" t="s">
        <v>16</v>
      </c>
      <c r="C13" s="26"/>
      <c r="D13" s="26"/>
      <c r="E13" s="19">
        <v>598075.50899999996</v>
      </c>
      <c r="F13" s="19">
        <v>589853.14</v>
      </c>
      <c r="G13" s="223">
        <v>45671.548000000003</v>
      </c>
      <c r="H13" s="19">
        <v>430265.826</v>
      </c>
      <c r="I13" s="19">
        <v>71.941999999999993</v>
      </c>
      <c r="J13" s="19">
        <v>72.944999999999993</v>
      </c>
      <c r="K13" s="224"/>
      <c r="L13" s="20"/>
    </row>
    <row r="14" spans="1:13" ht="18" customHeight="1" x14ac:dyDescent="0.2">
      <c r="A14" s="25" t="s">
        <v>17</v>
      </c>
      <c r="B14" s="26" t="s">
        <v>18</v>
      </c>
      <c r="C14" s="26"/>
      <c r="D14" s="26"/>
      <c r="E14" s="19">
        <v>441183.3</v>
      </c>
      <c r="F14" s="19">
        <v>441183.3</v>
      </c>
      <c r="G14" s="223">
        <v>35863.644</v>
      </c>
      <c r="H14" s="19">
        <v>320338.88900000002</v>
      </c>
      <c r="I14" s="19">
        <v>72.608999999999995</v>
      </c>
      <c r="J14" s="19">
        <v>72.608999999999995</v>
      </c>
      <c r="K14" s="224"/>
    </row>
    <row r="15" spans="1:13" ht="18" customHeight="1" x14ac:dyDescent="0.2">
      <c r="A15" s="25" t="s">
        <v>19</v>
      </c>
      <c r="B15" s="26" t="s">
        <v>20</v>
      </c>
      <c r="C15" s="26"/>
      <c r="D15" s="26"/>
      <c r="E15" s="19">
        <v>441183.3</v>
      </c>
      <c r="F15" s="19">
        <v>441183.3</v>
      </c>
      <c r="G15" s="223">
        <v>35863.644</v>
      </c>
      <c r="H15" s="19">
        <v>320338.88900000002</v>
      </c>
      <c r="I15" s="19">
        <v>72.608999999999995</v>
      </c>
      <c r="J15" s="19">
        <v>72.608999999999995</v>
      </c>
      <c r="K15" s="224"/>
      <c r="L15" s="224"/>
      <c r="M15" s="224"/>
    </row>
    <row r="16" spans="1:13" ht="67.5" x14ac:dyDescent="0.2">
      <c r="A16" s="14" t="s">
        <v>699</v>
      </c>
      <c r="B16" s="12" t="s">
        <v>21</v>
      </c>
      <c r="C16" s="12"/>
      <c r="D16" s="12"/>
      <c r="E16" s="13">
        <v>429147.8</v>
      </c>
      <c r="F16" s="13">
        <v>429147.8</v>
      </c>
      <c r="G16" s="13">
        <v>35077.22</v>
      </c>
      <c r="H16" s="13">
        <v>312578.647</v>
      </c>
      <c r="I16" s="13">
        <v>72.837000000000003</v>
      </c>
      <c r="J16" s="13">
        <v>72.837000000000003</v>
      </c>
    </row>
    <row r="17" spans="1:10" ht="67.5" x14ac:dyDescent="0.2">
      <c r="A17" s="18" t="s">
        <v>699</v>
      </c>
      <c r="B17" s="16" t="s">
        <v>22</v>
      </c>
      <c r="C17" s="16" t="s">
        <v>23</v>
      </c>
      <c r="D17" s="16" t="s">
        <v>24</v>
      </c>
      <c r="E17" s="17">
        <v>429147.8</v>
      </c>
      <c r="F17" s="17">
        <v>429147.8</v>
      </c>
      <c r="G17" s="17"/>
      <c r="H17" s="17"/>
      <c r="I17" s="17"/>
      <c r="J17" s="17"/>
    </row>
    <row r="18" spans="1:10" ht="101.25" x14ac:dyDescent="0.2">
      <c r="A18" s="14" t="s">
        <v>1052</v>
      </c>
      <c r="B18" s="12" t="s">
        <v>26</v>
      </c>
      <c r="C18" s="12"/>
      <c r="D18" s="12"/>
      <c r="E18" s="13"/>
      <c r="F18" s="13"/>
      <c r="G18" s="13">
        <v>35029.675999999999</v>
      </c>
      <c r="H18" s="13">
        <v>312405.25699999998</v>
      </c>
      <c r="I18" s="13"/>
      <c r="J18" s="13"/>
    </row>
    <row r="19" spans="1:10" ht="90" x14ac:dyDescent="0.2">
      <c r="A19" s="18" t="s">
        <v>1052</v>
      </c>
      <c r="B19" s="16" t="s">
        <v>27</v>
      </c>
      <c r="C19" s="16" t="s">
        <v>23</v>
      </c>
      <c r="D19" s="16" t="s">
        <v>24</v>
      </c>
      <c r="E19" s="17"/>
      <c r="F19" s="17"/>
      <c r="G19" s="17">
        <v>35029.675999999999</v>
      </c>
      <c r="H19" s="17">
        <v>312405.25699999998</v>
      </c>
      <c r="I19" s="17"/>
      <c r="J19" s="17"/>
    </row>
    <row r="20" spans="1:10" ht="78.75" x14ac:dyDescent="0.2">
      <c r="A20" s="14" t="s">
        <v>1053</v>
      </c>
      <c r="B20" s="12" t="s">
        <v>29</v>
      </c>
      <c r="C20" s="12"/>
      <c r="D20" s="12"/>
      <c r="E20" s="13"/>
      <c r="F20" s="13"/>
      <c r="G20" s="13">
        <v>42.54</v>
      </c>
      <c r="H20" s="13">
        <v>125.16200000000001</v>
      </c>
      <c r="I20" s="13"/>
      <c r="J20" s="13"/>
    </row>
    <row r="21" spans="1:10" ht="67.5" x14ac:dyDescent="0.2">
      <c r="A21" s="18" t="s">
        <v>1053</v>
      </c>
      <c r="B21" s="16" t="s">
        <v>30</v>
      </c>
      <c r="C21" s="16" t="s">
        <v>23</v>
      </c>
      <c r="D21" s="16" t="s">
        <v>24</v>
      </c>
      <c r="E21" s="17"/>
      <c r="F21" s="17"/>
      <c r="G21" s="17">
        <v>42.54</v>
      </c>
      <c r="H21" s="17">
        <v>125.16200000000001</v>
      </c>
      <c r="I21" s="17"/>
      <c r="J21" s="17"/>
    </row>
    <row r="22" spans="1:10" ht="90" x14ac:dyDescent="0.2">
      <c r="A22" s="14" t="s">
        <v>1054</v>
      </c>
      <c r="B22" s="12" t="s">
        <v>32</v>
      </c>
      <c r="C22" s="12"/>
      <c r="D22" s="12"/>
      <c r="E22" s="13"/>
      <c r="F22" s="13"/>
      <c r="G22" s="13">
        <v>3.2010000000000001</v>
      </c>
      <c r="H22" s="13">
        <v>46.423999999999999</v>
      </c>
      <c r="I22" s="13"/>
      <c r="J22" s="13"/>
    </row>
    <row r="23" spans="1:10" ht="90" x14ac:dyDescent="0.2">
      <c r="A23" s="18" t="s">
        <v>1054</v>
      </c>
      <c r="B23" s="16" t="s">
        <v>33</v>
      </c>
      <c r="C23" s="16" t="s">
        <v>23</v>
      </c>
      <c r="D23" s="16" t="s">
        <v>24</v>
      </c>
      <c r="E23" s="17"/>
      <c r="F23" s="17"/>
      <c r="G23" s="17">
        <v>3.2010000000000001</v>
      </c>
      <c r="H23" s="17">
        <v>46.423999999999999</v>
      </c>
      <c r="I23" s="17"/>
      <c r="J23" s="17"/>
    </row>
    <row r="24" spans="1:10" ht="78.75" x14ac:dyDescent="0.2">
      <c r="A24" s="14" t="s">
        <v>1055</v>
      </c>
      <c r="B24" s="12" t="s">
        <v>35</v>
      </c>
      <c r="C24" s="12"/>
      <c r="D24" s="12"/>
      <c r="E24" s="13"/>
      <c r="F24" s="13"/>
      <c r="G24" s="13">
        <v>1.804</v>
      </c>
      <c r="H24" s="13">
        <v>1.804</v>
      </c>
      <c r="I24" s="13"/>
      <c r="J24" s="13"/>
    </row>
    <row r="25" spans="1:10" ht="67.5" x14ac:dyDescent="0.2">
      <c r="A25" s="18" t="s">
        <v>1055</v>
      </c>
      <c r="B25" s="16" t="s">
        <v>36</v>
      </c>
      <c r="C25" s="16" t="s">
        <v>23</v>
      </c>
      <c r="D25" s="16" t="s">
        <v>24</v>
      </c>
      <c r="E25" s="17"/>
      <c r="F25" s="17"/>
      <c r="G25" s="17">
        <v>1.804</v>
      </c>
      <c r="H25" s="17">
        <v>1.804</v>
      </c>
      <c r="I25" s="17"/>
      <c r="J25" s="17"/>
    </row>
    <row r="26" spans="1:10" ht="101.25" x14ac:dyDescent="0.2">
      <c r="A26" s="14" t="s">
        <v>37</v>
      </c>
      <c r="B26" s="12" t="s">
        <v>38</v>
      </c>
      <c r="C26" s="12"/>
      <c r="D26" s="12"/>
      <c r="E26" s="13">
        <v>1537.2</v>
      </c>
      <c r="F26" s="13">
        <v>1537.2</v>
      </c>
      <c r="G26" s="13">
        <v>92.028999999999996</v>
      </c>
      <c r="H26" s="13">
        <v>1353.787</v>
      </c>
      <c r="I26" s="13">
        <v>88.067999999999998</v>
      </c>
      <c r="J26" s="13">
        <v>88.067999999999998</v>
      </c>
    </row>
    <row r="27" spans="1:10" ht="90" x14ac:dyDescent="0.2">
      <c r="A27" s="18" t="s">
        <v>37</v>
      </c>
      <c r="B27" s="16" t="s">
        <v>39</v>
      </c>
      <c r="C27" s="16" t="s">
        <v>23</v>
      </c>
      <c r="D27" s="16" t="s">
        <v>24</v>
      </c>
      <c r="E27" s="17">
        <v>1537.2</v>
      </c>
      <c r="F27" s="17">
        <v>1537.2</v>
      </c>
      <c r="G27" s="17"/>
      <c r="H27" s="17"/>
      <c r="I27" s="17"/>
      <c r="J27" s="17"/>
    </row>
    <row r="28" spans="1:10" ht="135" x14ac:dyDescent="0.2">
      <c r="A28" s="14" t="s">
        <v>40</v>
      </c>
      <c r="B28" s="12" t="s">
        <v>41</v>
      </c>
      <c r="C28" s="12"/>
      <c r="D28" s="12"/>
      <c r="E28" s="13"/>
      <c r="F28" s="13"/>
      <c r="G28" s="13">
        <v>80.307000000000002</v>
      </c>
      <c r="H28" s="13">
        <v>1310.1389999999999</v>
      </c>
      <c r="I28" s="13"/>
      <c r="J28" s="13"/>
    </row>
    <row r="29" spans="1:10" ht="123.75" x14ac:dyDescent="0.2">
      <c r="A29" s="18" t="s">
        <v>40</v>
      </c>
      <c r="B29" s="16" t="s">
        <v>42</v>
      </c>
      <c r="C29" s="16" t="s">
        <v>23</v>
      </c>
      <c r="D29" s="16" t="s">
        <v>24</v>
      </c>
      <c r="E29" s="17"/>
      <c r="F29" s="17"/>
      <c r="G29" s="17">
        <v>80.307000000000002</v>
      </c>
      <c r="H29" s="17">
        <v>1310.1389999999999</v>
      </c>
      <c r="I29" s="17"/>
      <c r="J29" s="17"/>
    </row>
    <row r="30" spans="1:10" ht="112.5" x14ac:dyDescent="0.2">
      <c r="A30" s="14" t="s">
        <v>43</v>
      </c>
      <c r="B30" s="12" t="s">
        <v>44</v>
      </c>
      <c r="C30" s="12"/>
      <c r="D30" s="12"/>
      <c r="E30" s="13"/>
      <c r="F30" s="13"/>
      <c r="G30" s="13">
        <v>11.254</v>
      </c>
      <c r="H30" s="13">
        <v>39.795999999999999</v>
      </c>
      <c r="I30" s="13"/>
      <c r="J30" s="13"/>
    </row>
    <row r="31" spans="1:10" ht="101.25" x14ac:dyDescent="0.2">
      <c r="A31" s="18" t="s">
        <v>43</v>
      </c>
      <c r="B31" s="16" t="s">
        <v>45</v>
      </c>
      <c r="C31" s="16" t="s">
        <v>23</v>
      </c>
      <c r="D31" s="16" t="s">
        <v>24</v>
      </c>
      <c r="E31" s="17"/>
      <c r="F31" s="17"/>
      <c r="G31" s="17">
        <v>11.254</v>
      </c>
      <c r="H31" s="17">
        <v>39.795999999999999</v>
      </c>
      <c r="I31" s="17"/>
      <c r="J31" s="17"/>
    </row>
    <row r="32" spans="1:10" ht="123.75" x14ac:dyDescent="0.2">
      <c r="A32" s="14" t="s">
        <v>46</v>
      </c>
      <c r="B32" s="12" t="s">
        <v>47</v>
      </c>
      <c r="C32" s="12"/>
      <c r="D32" s="12"/>
      <c r="E32" s="13"/>
      <c r="F32" s="13"/>
      <c r="G32" s="13">
        <v>0.46899999999999997</v>
      </c>
      <c r="H32" s="13">
        <v>3.8530000000000002</v>
      </c>
      <c r="I32" s="13"/>
      <c r="J32" s="13"/>
    </row>
    <row r="33" spans="1:12" ht="112.5" x14ac:dyDescent="0.2">
      <c r="A33" s="18" t="s">
        <v>46</v>
      </c>
      <c r="B33" s="16" t="s">
        <v>48</v>
      </c>
      <c r="C33" s="16" t="s">
        <v>23</v>
      </c>
      <c r="D33" s="16" t="s">
        <v>24</v>
      </c>
      <c r="E33" s="17"/>
      <c r="F33" s="17"/>
      <c r="G33" s="17">
        <v>0.46899999999999997</v>
      </c>
      <c r="H33" s="17">
        <v>3.8530000000000002</v>
      </c>
      <c r="I33" s="17"/>
      <c r="J33" s="17"/>
    </row>
    <row r="34" spans="1:12" ht="45" x14ac:dyDescent="0.2">
      <c r="A34" s="11" t="s">
        <v>50</v>
      </c>
      <c r="B34" s="12" t="s">
        <v>51</v>
      </c>
      <c r="C34" s="12"/>
      <c r="D34" s="12"/>
      <c r="E34" s="13">
        <v>1115.5999999999999</v>
      </c>
      <c r="F34" s="13">
        <v>1115.5999999999999</v>
      </c>
      <c r="G34" s="13">
        <v>284.678</v>
      </c>
      <c r="H34" s="13">
        <v>1691.9459999999999</v>
      </c>
      <c r="I34" s="13">
        <v>151.66300000000001</v>
      </c>
      <c r="J34" s="13">
        <v>151.66300000000001</v>
      </c>
    </row>
    <row r="35" spans="1:12" ht="33.75" x14ac:dyDescent="0.2">
      <c r="A35" s="15" t="s">
        <v>50</v>
      </c>
      <c r="B35" s="16" t="s">
        <v>52</v>
      </c>
      <c r="C35" s="16" t="s">
        <v>23</v>
      </c>
      <c r="D35" s="16" t="s">
        <v>24</v>
      </c>
      <c r="E35" s="17">
        <v>1115.5999999999999</v>
      </c>
      <c r="F35" s="17">
        <v>1115.5999999999999</v>
      </c>
      <c r="G35" s="17"/>
      <c r="H35" s="17"/>
      <c r="I35" s="17"/>
      <c r="J35" s="17"/>
    </row>
    <row r="36" spans="1:12" ht="67.5" x14ac:dyDescent="0.2">
      <c r="A36" s="11" t="s">
        <v>53</v>
      </c>
      <c r="B36" s="12" t="s">
        <v>54</v>
      </c>
      <c r="C36" s="12"/>
      <c r="D36" s="12"/>
      <c r="E36" s="13"/>
      <c r="F36" s="13"/>
      <c r="G36" s="13">
        <v>281.79000000000002</v>
      </c>
      <c r="H36" s="13">
        <v>1662.008</v>
      </c>
      <c r="I36" s="13"/>
      <c r="J36" s="13"/>
    </row>
    <row r="37" spans="1:12" ht="67.5" x14ac:dyDescent="0.2">
      <c r="A37" s="15" t="s">
        <v>53</v>
      </c>
      <c r="B37" s="16" t="s">
        <v>55</v>
      </c>
      <c r="C37" s="16" t="s">
        <v>23</v>
      </c>
      <c r="D37" s="16" t="s">
        <v>24</v>
      </c>
      <c r="E37" s="17"/>
      <c r="F37" s="17"/>
      <c r="G37" s="17">
        <v>281.79000000000002</v>
      </c>
      <c r="H37" s="17">
        <v>1662.008</v>
      </c>
      <c r="I37" s="17"/>
      <c r="J37" s="17"/>
    </row>
    <row r="38" spans="1:12" ht="45" x14ac:dyDescent="0.2">
      <c r="A38" s="11" t="s">
        <v>56</v>
      </c>
      <c r="B38" s="12" t="s">
        <v>57</v>
      </c>
      <c r="C38" s="12"/>
      <c r="D38" s="12"/>
      <c r="E38" s="13"/>
      <c r="F38" s="13"/>
      <c r="G38" s="13">
        <v>1.675</v>
      </c>
      <c r="H38" s="13">
        <v>27</v>
      </c>
      <c r="I38" s="13"/>
      <c r="J38" s="13"/>
    </row>
    <row r="39" spans="1:12" ht="45" x14ac:dyDescent="0.2">
      <c r="A39" s="15" t="s">
        <v>56</v>
      </c>
      <c r="B39" s="16" t="s">
        <v>58</v>
      </c>
      <c r="C39" s="16" t="s">
        <v>23</v>
      </c>
      <c r="D39" s="16" t="s">
        <v>24</v>
      </c>
      <c r="E39" s="17"/>
      <c r="F39" s="17"/>
      <c r="G39" s="17">
        <v>1.675</v>
      </c>
      <c r="H39" s="17">
        <v>27</v>
      </c>
      <c r="I39" s="17"/>
      <c r="J39" s="17"/>
    </row>
    <row r="40" spans="1:12" ht="67.5" x14ac:dyDescent="0.2">
      <c r="A40" s="11" t="s">
        <v>59</v>
      </c>
      <c r="B40" s="12" t="s">
        <v>60</v>
      </c>
      <c r="C40" s="12"/>
      <c r="D40" s="12"/>
      <c r="E40" s="13"/>
      <c r="F40" s="13"/>
      <c r="G40" s="13">
        <v>1.214</v>
      </c>
      <c r="H40" s="13">
        <v>2.9409999999999998</v>
      </c>
      <c r="I40" s="13"/>
      <c r="J40" s="13"/>
    </row>
    <row r="41" spans="1:12" ht="67.5" x14ac:dyDescent="0.2">
      <c r="A41" s="15" t="s">
        <v>59</v>
      </c>
      <c r="B41" s="16" t="s">
        <v>61</v>
      </c>
      <c r="C41" s="16" t="s">
        <v>23</v>
      </c>
      <c r="D41" s="16" t="s">
        <v>24</v>
      </c>
      <c r="E41" s="17"/>
      <c r="F41" s="17"/>
      <c r="G41" s="17">
        <v>1.214</v>
      </c>
      <c r="H41" s="17">
        <v>2.9409999999999998</v>
      </c>
      <c r="I41" s="17"/>
      <c r="J41" s="17"/>
    </row>
    <row r="42" spans="1:12" ht="45" x14ac:dyDescent="0.2">
      <c r="A42" s="11" t="s">
        <v>62</v>
      </c>
      <c r="B42" s="12" t="s">
        <v>63</v>
      </c>
      <c r="C42" s="12"/>
      <c r="D42" s="12"/>
      <c r="E42" s="13"/>
      <c r="F42" s="13"/>
      <c r="G42" s="13"/>
      <c r="H42" s="13">
        <v>-2E-3</v>
      </c>
      <c r="I42" s="13"/>
      <c r="J42" s="13"/>
    </row>
    <row r="43" spans="1:12" ht="45" x14ac:dyDescent="0.2">
      <c r="A43" s="15" t="s">
        <v>62</v>
      </c>
      <c r="B43" s="16" t="s">
        <v>64</v>
      </c>
      <c r="C43" s="16" t="s">
        <v>23</v>
      </c>
      <c r="D43" s="16" t="s">
        <v>24</v>
      </c>
      <c r="E43" s="17"/>
      <c r="F43" s="17"/>
      <c r="G43" s="17"/>
      <c r="H43" s="17">
        <v>-2E-3</v>
      </c>
      <c r="I43" s="17"/>
      <c r="J43" s="17"/>
    </row>
    <row r="44" spans="1:12" ht="78.75" x14ac:dyDescent="0.2">
      <c r="A44" s="14" t="s">
        <v>65</v>
      </c>
      <c r="B44" s="12" t="s">
        <v>66</v>
      </c>
      <c r="C44" s="12"/>
      <c r="D44" s="12"/>
      <c r="E44" s="13">
        <v>9382.7000000000007</v>
      </c>
      <c r="F44" s="13">
        <v>9382.7000000000007</v>
      </c>
      <c r="G44" s="13">
        <v>409.71600000000001</v>
      </c>
      <c r="H44" s="13">
        <v>4714.509</v>
      </c>
      <c r="I44" s="13">
        <v>50.247</v>
      </c>
      <c r="J44" s="13">
        <v>50.247</v>
      </c>
    </row>
    <row r="45" spans="1:12" ht="67.5" x14ac:dyDescent="0.2">
      <c r="A45" s="18" t="s">
        <v>65</v>
      </c>
      <c r="B45" s="16" t="s">
        <v>67</v>
      </c>
      <c r="C45" s="16" t="s">
        <v>23</v>
      </c>
      <c r="D45" s="16" t="s">
        <v>24</v>
      </c>
      <c r="E45" s="17">
        <v>9382.7000000000007</v>
      </c>
      <c r="F45" s="17">
        <v>9382.7000000000007</v>
      </c>
      <c r="G45" s="17"/>
      <c r="H45" s="17"/>
      <c r="I45" s="17"/>
      <c r="J45" s="17"/>
    </row>
    <row r="46" spans="1:12" ht="112.5" x14ac:dyDescent="0.2">
      <c r="A46" s="14" t="s">
        <v>1056</v>
      </c>
      <c r="B46" s="12" t="s">
        <v>69</v>
      </c>
      <c r="C46" s="12"/>
      <c r="D46" s="12"/>
      <c r="E46" s="13"/>
      <c r="F46" s="13"/>
      <c r="G46" s="13">
        <v>409.71600000000001</v>
      </c>
      <c r="H46" s="13">
        <v>4714.509</v>
      </c>
      <c r="I46" s="13"/>
      <c r="J46" s="13"/>
    </row>
    <row r="47" spans="1:12" ht="101.25" x14ac:dyDescent="0.2">
      <c r="A47" s="18" t="s">
        <v>1056</v>
      </c>
      <c r="B47" s="16" t="s">
        <v>70</v>
      </c>
      <c r="C47" s="16" t="s">
        <v>23</v>
      </c>
      <c r="D47" s="16" t="s">
        <v>24</v>
      </c>
      <c r="E47" s="17"/>
      <c r="F47" s="17"/>
      <c r="G47" s="17">
        <v>409.71600000000001</v>
      </c>
      <c r="H47" s="17">
        <v>4714.509</v>
      </c>
      <c r="I47" s="17"/>
      <c r="J47" s="17"/>
    </row>
    <row r="48" spans="1:12" ht="31.35" customHeight="1" x14ac:dyDescent="0.2">
      <c r="A48" s="25" t="s">
        <v>568</v>
      </c>
      <c r="B48" s="26" t="s">
        <v>569</v>
      </c>
      <c r="C48" s="26"/>
      <c r="D48" s="26"/>
      <c r="E48" s="19">
        <v>8309.7000000000007</v>
      </c>
      <c r="F48" s="19">
        <v>8384.5589999999993</v>
      </c>
      <c r="G48" s="223">
        <v>727.60900000000004</v>
      </c>
      <c r="H48" s="19">
        <v>5532.4030000000002</v>
      </c>
      <c r="I48" s="19">
        <v>66.578000000000003</v>
      </c>
      <c r="J48" s="19">
        <v>65.983000000000004</v>
      </c>
      <c r="K48" s="224"/>
      <c r="L48" s="20"/>
    </row>
    <row r="49" spans="1:12" ht="33.75" x14ac:dyDescent="0.2">
      <c r="A49" s="11" t="s">
        <v>369</v>
      </c>
      <c r="B49" s="12" t="s">
        <v>570</v>
      </c>
      <c r="C49" s="12"/>
      <c r="D49" s="12"/>
      <c r="E49" s="13">
        <v>8309.7000000000007</v>
      </c>
      <c r="F49" s="13">
        <v>8384.5589999999993</v>
      </c>
      <c r="G49" s="13">
        <v>727.60900000000004</v>
      </c>
      <c r="H49" s="13">
        <v>5532.4030000000002</v>
      </c>
      <c r="I49" s="13">
        <v>66.578000000000003</v>
      </c>
      <c r="J49" s="13">
        <v>65.983000000000004</v>
      </c>
    </row>
    <row r="50" spans="1:12" ht="67.5" x14ac:dyDescent="0.2">
      <c r="A50" s="11" t="s">
        <v>378</v>
      </c>
      <c r="B50" s="12" t="s">
        <v>571</v>
      </c>
      <c r="C50" s="12"/>
      <c r="D50" s="12"/>
      <c r="E50" s="13">
        <v>3795.5</v>
      </c>
      <c r="F50" s="13">
        <v>3842.098</v>
      </c>
      <c r="G50" s="13">
        <v>337.54899999999998</v>
      </c>
      <c r="H50" s="13">
        <v>2579.2489999999998</v>
      </c>
      <c r="I50" s="13">
        <v>67.956000000000003</v>
      </c>
      <c r="J50" s="13">
        <v>67.131</v>
      </c>
    </row>
    <row r="51" spans="1:12" ht="101.25" x14ac:dyDescent="0.2">
      <c r="A51" s="14" t="s">
        <v>700</v>
      </c>
      <c r="B51" s="12" t="s">
        <v>701</v>
      </c>
      <c r="C51" s="12"/>
      <c r="D51" s="12"/>
      <c r="E51" s="13">
        <v>3795.5</v>
      </c>
      <c r="F51" s="13">
        <v>3842.098</v>
      </c>
      <c r="G51" s="13">
        <v>337.54899999999998</v>
      </c>
      <c r="H51" s="13">
        <v>2579.2489999999998</v>
      </c>
      <c r="I51" s="13">
        <v>67.956000000000003</v>
      </c>
      <c r="J51" s="13">
        <v>67.131</v>
      </c>
    </row>
    <row r="52" spans="1:12" ht="101.25" x14ac:dyDescent="0.2">
      <c r="A52" s="18" t="s">
        <v>700</v>
      </c>
      <c r="B52" s="16" t="s">
        <v>702</v>
      </c>
      <c r="C52" s="16" t="s">
        <v>23</v>
      </c>
      <c r="D52" s="16" t="s">
        <v>24</v>
      </c>
      <c r="E52" s="17">
        <v>3795.5</v>
      </c>
      <c r="F52" s="17">
        <v>3842.098</v>
      </c>
      <c r="G52" s="17">
        <v>337.54899999999998</v>
      </c>
      <c r="H52" s="17">
        <v>2579.2489999999998</v>
      </c>
      <c r="I52" s="17">
        <v>67.956000000000003</v>
      </c>
      <c r="J52" s="17">
        <v>67.131</v>
      </c>
    </row>
    <row r="53" spans="1:12" ht="78.75" x14ac:dyDescent="0.2">
      <c r="A53" s="14" t="s">
        <v>377</v>
      </c>
      <c r="B53" s="12" t="s">
        <v>572</v>
      </c>
      <c r="C53" s="12"/>
      <c r="D53" s="12"/>
      <c r="E53" s="13">
        <v>20.5</v>
      </c>
      <c r="F53" s="13">
        <v>19.79</v>
      </c>
      <c r="G53" s="13">
        <v>2.5219999999999998</v>
      </c>
      <c r="H53" s="13">
        <v>17.806000000000001</v>
      </c>
      <c r="I53" s="13">
        <v>86.858999999999995</v>
      </c>
      <c r="J53" s="13">
        <v>89.974999999999994</v>
      </c>
    </row>
    <row r="54" spans="1:12" ht="112.5" x14ac:dyDescent="0.2">
      <c r="A54" s="14" t="s">
        <v>703</v>
      </c>
      <c r="B54" s="12" t="s">
        <v>704</v>
      </c>
      <c r="C54" s="12"/>
      <c r="D54" s="12"/>
      <c r="E54" s="13">
        <v>20.5</v>
      </c>
      <c r="F54" s="13">
        <v>19.79</v>
      </c>
      <c r="G54" s="13">
        <v>2.5219999999999998</v>
      </c>
      <c r="H54" s="13">
        <v>17.806000000000001</v>
      </c>
      <c r="I54" s="13">
        <v>86.858999999999995</v>
      </c>
      <c r="J54" s="13">
        <v>89.974999999999994</v>
      </c>
    </row>
    <row r="55" spans="1:12" ht="112.5" x14ac:dyDescent="0.2">
      <c r="A55" s="18" t="s">
        <v>703</v>
      </c>
      <c r="B55" s="16" t="s">
        <v>705</v>
      </c>
      <c r="C55" s="16" t="s">
        <v>23</v>
      </c>
      <c r="D55" s="16" t="s">
        <v>24</v>
      </c>
      <c r="E55" s="17">
        <v>20.5</v>
      </c>
      <c r="F55" s="17">
        <v>19.79</v>
      </c>
      <c r="G55" s="17">
        <v>2.5219999999999998</v>
      </c>
      <c r="H55" s="17">
        <v>17.806000000000001</v>
      </c>
      <c r="I55" s="17">
        <v>86.858999999999995</v>
      </c>
      <c r="J55" s="17">
        <v>89.974999999999994</v>
      </c>
    </row>
    <row r="56" spans="1:12" ht="67.5" x14ac:dyDescent="0.2">
      <c r="A56" s="11" t="s">
        <v>376</v>
      </c>
      <c r="B56" s="12" t="s">
        <v>573</v>
      </c>
      <c r="C56" s="12"/>
      <c r="D56" s="12"/>
      <c r="E56" s="13">
        <v>5084.1000000000004</v>
      </c>
      <c r="F56" s="13">
        <v>5018.5010000000002</v>
      </c>
      <c r="G56" s="13">
        <v>472.47300000000001</v>
      </c>
      <c r="H56" s="13">
        <v>3439.1460000000002</v>
      </c>
      <c r="I56" s="13">
        <v>67.644999999999996</v>
      </c>
      <c r="J56" s="13">
        <v>68.528999999999996</v>
      </c>
    </row>
    <row r="57" spans="1:12" ht="101.25" x14ac:dyDescent="0.2">
      <c r="A57" s="14" t="s">
        <v>706</v>
      </c>
      <c r="B57" s="12" t="s">
        <v>707</v>
      </c>
      <c r="C57" s="12"/>
      <c r="D57" s="12"/>
      <c r="E57" s="13">
        <v>5084.1000000000004</v>
      </c>
      <c r="F57" s="13">
        <v>5018.5010000000002</v>
      </c>
      <c r="G57" s="13">
        <v>472.47300000000001</v>
      </c>
      <c r="H57" s="13">
        <v>3439.1460000000002</v>
      </c>
      <c r="I57" s="13">
        <v>67.644999999999996</v>
      </c>
      <c r="J57" s="13">
        <v>68.528999999999996</v>
      </c>
    </row>
    <row r="58" spans="1:12" ht="101.25" x14ac:dyDescent="0.2">
      <c r="A58" s="18" t="s">
        <v>706</v>
      </c>
      <c r="B58" s="16" t="s">
        <v>708</v>
      </c>
      <c r="C58" s="16" t="s">
        <v>23</v>
      </c>
      <c r="D58" s="16" t="s">
        <v>24</v>
      </c>
      <c r="E58" s="17">
        <v>5084.1000000000004</v>
      </c>
      <c r="F58" s="17">
        <v>5018.5010000000002</v>
      </c>
      <c r="G58" s="17">
        <v>472.47300000000001</v>
      </c>
      <c r="H58" s="17">
        <v>3439.1460000000002</v>
      </c>
      <c r="I58" s="17">
        <v>67.644999999999996</v>
      </c>
      <c r="J58" s="17">
        <v>68.528999999999996</v>
      </c>
    </row>
    <row r="59" spans="1:12" ht="67.5" x14ac:dyDescent="0.2">
      <c r="A59" s="11" t="s">
        <v>375</v>
      </c>
      <c r="B59" s="12" t="s">
        <v>574</v>
      </c>
      <c r="C59" s="12"/>
      <c r="D59" s="12"/>
      <c r="E59" s="13">
        <v>-590.4</v>
      </c>
      <c r="F59" s="13">
        <v>-495.83100000000002</v>
      </c>
      <c r="G59" s="13">
        <v>-84.935000000000002</v>
      </c>
      <c r="H59" s="13">
        <v>-503.79899999999998</v>
      </c>
      <c r="I59" s="13">
        <v>85.331999999999994</v>
      </c>
      <c r="J59" s="13">
        <v>101.607</v>
      </c>
    </row>
    <row r="60" spans="1:12" ht="101.25" x14ac:dyDescent="0.2">
      <c r="A60" s="14" t="s">
        <v>709</v>
      </c>
      <c r="B60" s="12" t="s">
        <v>710</v>
      </c>
      <c r="C60" s="12"/>
      <c r="D60" s="12"/>
      <c r="E60" s="13">
        <v>-590.4</v>
      </c>
      <c r="F60" s="13">
        <v>-495.83100000000002</v>
      </c>
      <c r="G60" s="13">
        <v>-84.935000000000002</v>
      </c>
      <c r="H60" s="13">
        <v>-503.79899999999998</v>
      </c>
      <c r="I60" s="13">
        <v>85.331999999999994</v>
      </c>
      <c r="J60" s="13">
        <v>101.607</v>
      </c>
    </row>
    <row r="61" spans="1:12" ht="101.25" x14ac:dyDescent="0.2">
      <c r="A61" s="18" t="s">
        <v>709</v>
      </c>
      <c r="B61" s="16" t="s">
        <v>711</v>
      </c>
      <c r="C61" s="16" t="s">
        <v>23</v>
      </c>
      <c r="D61" s="16" t="s">
        <v>24</v>
      </c>
      <c r="E61" s="17">
        <v>-590.4</v>
      </c>
      <c r="F61" s="17">
        <v>-495.83100000000002</v>
      </c>
      <c r="G61" s="17">
        <v>-84.935000000000002</v>
      </c>
      <c r="H61" s="17">
        <v>-503.79899999999998</v>
      </c>
      <c r="I61" s="17">
        <v>85.331999999999994</v>
      </c>
      <c r="J61" s="17">
        <v>101.607</v>
      </c>
    </row>
    <row r="62" spans="1:12" ht="17.649999999999999" customHeight="1" x14ac:dyDescent="0.2">
      <c r="A62" s="25" t="s">
        <v>71</v>
      </c>
      <c r="B62" s="26" t="s">
        <v>72</v>
      </c>
      <c r="C62" s="26"/>
      <c r="D62" s="26"/>
      <c r="E62" s="19">
        <v>59865.5</v>
      </c>
      <c r="F62" s="19">
        <v>47390.9</v>
      </c>
      <c r="G62" s="223">
        <v>3528.6370000000002</v>
      </c>
      <c r="H62" s="19">
        <v>42843.250999999997</v>
      </c>
      <c r="I62" s="19">
        <v>71.566000000000003</v>
      </c>
      <c r="J62" s="19">
        <v>90.403999999999996</v>
      </c>
      <c r="K62" s="224"/>
      <c r="L62" s="20"/>
    </row>
    <row r="63" spans="1:12" s="212" customFormat="1" ht="35.65" customHeight="1" x14ac:dyDescent="0.2">
      <c r="A63" s="28" t="s">
        <v>440</v>
      </c>
      <c r="B63" s="29" t="s">
        <v>441</v>
      </c>
      <c r="C63" s="29"/>
      <c r="D63" s="29"/>
      <c r="E63" s="22">
        <v>29790</v>
      </c>
      <c r="F63" s="22">
        <v>17947.400000000001</v>
      </c>
      <c r="G63" s="223">
        <v>2713.1320000000001</v>
      </c>
      <c r="H63" s="22">
        <v>21429.741999999998</v>
      </c>
      <c r="I63" s="22">
        <v>71.936000000000007</v>
      </c>
      <c r="J63" s="22">
        <v>119.40300000000001</v>
      </c>
      <c r="K63" s="225"/>
    </row>
    <row r="64" spans="1:12" ht="33.75" x14ac:dyDescent="0.2">
      <c r="A64" s="11" t="s">
        <v>379</v>
      </c>
      <c r="B64" s="12" t="s">
        <v>442</v>
      </c>
      <c r="C64" s="12"/>
      <c r="D64" s="12"/>
      <c r="E64" s="13">
        <v>17490</v>
      </c>
      <c r="F64" s="13">
        <v>9934.4</v>
      </c>
      <c r="G64" s="13">
        <v>1522.2840000000001</v>
      </c>
      <c r="H64" s="13">
        <v>14051.864</v>
      </c>
      <c r="I64" s="13">
        <v>80.341999999999999</v>
      </c>
      <c r="J64" s="13">
        <v>141.447</v>
      </c>
    </row>
    <row r="65" spans="1:10" ht="33.75" x14ac:dyDescent="0.2">
      <c r="A65" s="11" t="s">
        <v>379</v>
      </c>
      <c r="B65" s="12" t="s">
        <v>443</v>
      </c>
      <c r="C65" s="12"/>
      <c r="D65" s="12"/>
      <c r="E65" s="13">
        <v>17490</v>
      </c>
      <c r="F65" s="13">
        <v>9934.4</v>
      </c>
      <c r="G65" s="13">
        <v>1522.2840000000001</v>
      </c>
      <c r="H65" s="13">
        <v>14051.662</v>
      </c>
      <c r="I65" s="13">
        <v>80.340999999999994</v>
      </c>
      <c r="J65" s="13">
        <v>141.44499999999999</v>
      </c>
    </row>
    <row r="66" spans="1:10" ht="22.5" x14ac:dyDescent="0.2">
      <c r="A66" s="15" t="s">
        <v>379</v>
      </c>
      <c r="B66" s="16" t="s">
        <v>575</v>
      </c>
      <c r="C66" s="16" t="s">
        <v>23</v>
      </c>
      <c r="D66" s="16" t="s">
        <v>24</v>
      </c>
      <c r="E66" s="17">
        <v>17490</v>
      </c>
      <c r="F66" s="17">
        <v>9934.4</v>
      </c>
      <c r="G66" s="17"/>
      <c r="H66" s="17"/>
      <c r="I66" s="17"/>
      <c r="J66" s="17"/>
    </row>
    <row r="67" spans="1:10" ht="56.25" x14ac:dyDescent="0.2">
      <c r="A67" s="11" t="s">
        <v>576</v>
      </c>
      <c r="B67" s="12" t="s">
        <v>444</v>
      </c>
      <c r="C67" s="12"/>
      <c r="D67" s="12"/>
      <c r="E67" s="13"/>
      <c r="F67" s="13"/>
      <c r="G67" s="13">
        <v>1469.575</v>
      </c>
      <c r="H67" s="13">
        <v>13784.618</v>
      </c>
      <c r="I67" s="13"/>
      <c r="J67" s="13"/>
    </row>
    <row r="68" spans="1:10" ht="56.25" x14ac:dyDescent="0.2">
      <c r="A68" s="15" t="s">
        <v>576</v>
      </c>
      <c r="B68" s="16" t="s">
        <v>445</v>
      </c>
      <c r="C68" s="16" t="s">
        <v>23</v>
      </c>
      <c r="D68" s="16" t="s">
        <v>24</v>
      </c>
      <c r="E68" s="17"/>
      <c r="F68" s="17"/>
      <c r="G68" s="17">
        <v>1469.575</v>
      </c>
      <c r="H68" s="17">
        <v>13784.618</v>
      </c>
      <c r="I68" s="17"/>
      <c r="J68" s="17"/>
    </row>
    <row r="69" spans="1:10" ht="33.75" x14ac:dyDescent="0.2">
      <c r="A69" s="11" t="s">
        <v>381</v>
      </c>
      <c r="B69" s="12" t="s">
        <v>446</v>
      </c>
      <c r="C69" s="12"/>
      <c r="D69" s="12"/>
      <c r="E69" s="13"/>
      <c r="F69" s="13"/>
      <c r="G69" s="13">
        <v>57.006</v>
      </c>
      <c r="H69" s="13">
        <v>270.85000000000002</v>
      </c>
      <c r="I69" s="13"/>
      <c r="J69" s="13"/>
    </row>
    <row r="70" spans="1:10" ht="33.75" x14ac:dyDescent="0.2">
      <c r="A70" s="15" t="s">
        <v>381</v>
      </c>
      <c r="B70" s="16" t="s">
        <v>447</v>
      </c>
      <c r="C70" s="16" t="s">
        <v>23</v>
      </c>
      <c r="D70" s="16" t="s">
        <v>24</v>
      </c>
      <c r="E70" s="17"/>
      <c r="F70" s="17"/>
      <c r="G70" s="17">
        <v>57.006</v>
      </c>
      <c r="H70" s="17">
        <v>270.85000000000002</v>
      </c>
      <c r="I70" s="17"/>
      <c r="J70" s="17"/>
    </row>
    <row r="71" spans="1:10" ht="56.25" x14ac:dyDescent="0.2">
      <c r="A71" s="11" t="s">
        <v>382</v>
      </c>
      <c r="B71" s="12" t="s">
        <v>448</v>
      </c>
      <c r="C71" s="12"/>
      <c r="D71" s="12"/>
      <c r="E71" s="13"/>
      <c r="F71" s="13"/>
      <c r="G71" s="13">
        <v>0.3</v>
      </c>
      <c r="H71" s="13">
        <v>2.1459999999999999</v>
      </c>
      <c r="I71" s="13"/>
      <c r="J71" s="13"/>
    </row>
    <row r="72" spans="1:10" ht="56.25" x14ac:dyDescent="0.2">
      <c r="A72" s="15" t="s">
        <v>382</v>
      </c>
      <c r="B72" s="16" t="s">
        <v>449</v>
      </c>
      <c r="C72" s="16" t="s">
        <v>23</v>
      </c>
      <c r="D72" s="16" t="s">
        <v>24</v>
      </c>
      <c r="E72" s="17"/>
      <c r="F72" s="17"/>
      <c r="G72" s="17">
        <v>0.3</v>
      </c>
      <c r="H72" s="17">
        <v>2.1459999999999999</v>
      </c>
      <c r="I72" s="17"/>
      <c r="J72" s="17"/>
    </row>
    <row r="73" spans="1:10" ht="33.75" x14ac:dyDescent="0.2">
      <c r="A73" s="11" t="s">
        <v>383</v>
      </c>
      <c r="B73" s="12" t="s">
        <v>450</v>
      </c>
      <c r="C73" s="12"/>
      <c r="D73" s="12"/>
      <c r="E73" s="13"/>
      <c r="F73" s="13"/>
      <c r="G73" s="13">
        <v>-4.5970000000000004</v>
      </c>
      <c r="H73" s="13">
        <v>-5.9530000000000003</v>
      </c>
      <c r="I73" s="13"/>
      <c r="J73" s="13"/>
    </row>
    <row r="74" spans="1:10" ht="33.75" x14ac:dyDescent="0.2">
      <c r="A74" s="15" t="s">
        <v>383</v>
      </c>
      <c r="B74" s="16" t="s">
        <v>682</v>
      </c>
      <c r="C74" s="16" t="s">
        <v>23</v>
      </c>
      <c r="D74" s="16" t="s">
        <v>24</v>
      </c>
      <c r="E74" s="17"/>
      <c r="F74" s="17"/>
      <c r="G74" s="17">
        <v>-4.5970000000000004</v>
      </c>
      <c r="H74" s="17">
        <v>-5.9530000000000003</v>
      </c>
      <c r="I74" s="17"/>
      <c r="J74" s="17"/>
    </row>
    <row r="75" spans="1:10" ht="45" x14ac:dyDescent="0.2">
      <c r="A75" s="11" t="s">
        <v>387</v>
      </c>
      <c r="B75" s="12" t="s">
        <v>712</v>
      </c>
      <c r="C75" s="12"/>
      <c r="D75" s="12"/>
      <c r="E75" s="13"/>
      <c r="F75" s="13"/>
      <c r="G75" s="13"/>
      <c r="H75" s="13">
        <v>0.20100000000000001</v>
      </c>
      <c r="I75" s="13"/>
      <c r="J75" s="13"/>
    </row>
    <row r="76" spans="1:10" ht="56.25" x14ac:dyDescent="0.2">
      <c r="A76" s="11" t="s">
        <v>385</v>
      </c>
      <c r="B76" s="12" t="s">
        <v>1057</v>
      </c>
      <c r="C76" s="12"/>
      <c r="D76" s="12"/>
      <c r="E76" s="13"/>
      <c r="F76" s="13"/>
      <c r="G76" s="13"/>
      <c r="H76" s="13">
        <v>0.20100000000000001</v>
      </c>
      <c r="I76" s="13"/>
      <c r="J76" s="13"/>
    </row>
    <row r="77" spans="1:10" ht="45" x14ac:dyDescent="0.2">
      <c r="A77" s="15" t="s">
        <v>385</v>
      </c>
      <c r="B77" s="16" t="s">
        <v>1058</v>
      </c>
      <c r="C77" s="16" t="s">
        <v>23</v>
      </c>
      <c r="D77" s="16" t="s">
        <v>24</v>
      </c>
      <c r="E77" s="17"/>
      <c r="F77" s="17"/>
      <c r="G77" s="17"/>
      <c r="H77" s="17">
        <v>0.20100000000000001</v>
      </c>
      <c r="I77" s="17"/>
      <c r="J77" s="17"/>
    </row>
    <row r="78" spans="1:10" ht="33.75" x14ac:dyDescent="0.2">
      <c r="A78" s="11" t="s">
        <v>388</v>
      </c>
      <c r="B78" s="12" t="s">
        <v>451</v>
      </c>
      <c r="C78" s="12"/>
      <c r="D78" s="12"/>
      <c r="E78" s="13">
        <v>12300</v>
      </c>
      <c r="F78" s="13">
        <v>8013</v>
      </c>
      <c r="G78" s="13">
        <v>1190.848</v>
      </c>
      <c r="H78" s="13">
        <v>7377.8370000000004</v>
      </c>
      <c r="I78" s="13">
        <v>59.981999999999999</v>
      </c>
      <c r="J78" s="13">
        <v>92.072999999999993</v>
      </c>
    </row>
    <row r="79" spans="1:10" ht="56.25" x14ac:dyDescent="0.2">
      <c r="A79" s="11" t="s">
        <v>389</v>
      </c>
      <c r="B79" s="12" t="s">
        <v>452</v>
      </c>
      <c r="C79" s="12"/>
      <c r="D79" s="12"/>
      <c r="E79" s="13">
        <v>12300</v>
      </c>
      <c r="F79" s="13">
        <v>8013</v>
      </c>
      <c r="G79" s="13">
        <v>1190.848</v>
      </c>
      <c r="H79" s="13">
        <v>7367.2969999999996</v>
      </c>
      <c r="I79" s="13">
        <v>59.896999999999998</v>
      </c>
      <c r="J79" s="13">
        <v>91.941999999999993</v>
      </c>
    </row>
    <row r="80" spans="1:10" ht="56.25" x14ac:dyDescent="0.2">
      <c r="A80" s="15" t="s">
        <v>389</v>
      </c>
      <c r="B80" s="16" t="s">
        <v>577</v>
      </c>
      <c r="C80" s="16" t="s">
        <v>23</v>
      </c>
      <c r="D80" s="16" t="s">
        <v>24</v>
      </c>
      <c r="E80" s="17">
        <v>12300</v>
      </c>
      <c r="F80" s="17">
        <v>8013</v>
      </c>
      <c r="G80" s="17"/>
      <c r="H80" s="17"/>
      <c r="I80" s="17"/>
      <c r="J80" s="17"/>
    </row>
    <row r="81" spans="1:11" ht="90" x14ac:dyDescent="0.2">
      <c r="A81" s="14" t="s">
        <v>715</v>
      </c>
      <c r="B81" s="12" t="s">
        <v>453</v>
      </c>
      <c r="C81" s="12"/>
      <c r="D81" s="12"/>
      <c r="E81" s="13"/>
      <c r="F81" s="13"/>
      <c r="G81" s="13">
        <v>1110.748</v>
      </c>
      <c r="H81" s="13">
        <v>7059.1030000000001</v>
      </c>
      <c r="I81" s="13"/>
      <c r="J81" s="13"/>
    </row>
    <row r="82" spans="1:11" ht="78.75" x14ac:dyDescent="0.2">
      <c r="A82" s="18" t="s">
        <v>715</v>
      </c>
      <c r="B82" s="16" t="s">
        <v>454</v>
      </c>
      <c r="C82" s="16" t="s">
        <v>23</v>
      </c>
      <c r="D82" s="16" t="s">
        <v>24</v>
      </c>
      <c r="E82" s="17"/>
      <c r="F82" s="17"/>
      <c r="G82" s="17">
        <v>1110.748</v>
      </c>
      <c r="H82" s="17">
        <v>7059.1030000000001</v>
      </c>
      <c r="I82" s="17"/>
      <c r="J82" s="17"/>
    </row>
    <row r="83" spans="1:11" ht="67.5" x14ac:dyDescent="0.2">
      <c r="A83" s="11" t="s">
        <v>716</v>
      </c>
      <c r="B83" s="12" t="s">
        <v>455</v>
      </c>
      <c r="C83" s="12"/>
      <c r="D83" s="12"/>
      <c r="E83" s="13"/>
      <c r="F83" s="13"/>
      <c r="G83" s="13">
        <v>123.354</v>
      </c>
      <c r="H83" s="13">
        <v>308.19400000000002</v>
      </c>
      <c r="I83" s="13"/>
      <c r="J83" s="13"/>
    </row>
    <row r="84" spans="1:11" ht="67.5" x14ac:dyDescent="0.2">
      <c r="A84" s="15" t="s">
        <v>716</v>
      </c>
      <c r="B84" s="16" t="s">
        <v>456</v>
      </c>
      <c r="C84" s="16" t="s">
        <v>23</v>
      </c>
      <c r="D84" s="16" t="s">
        <v>24</v>
      </c>
      <c r="E84" s="17"/>
      <c r="F84" s="17"/>
      <c r="G84" s="17">
        <v>123.354</v>
      </c>
      <c r="H84" s="17">
        <v>308.19400000000002</v>
      </c>
      <c r="I84" s="17"/>
      <c r="J84" s="17"/>
    </row>
    <row r="85" spans="1:11" ht="67.5" x14ac:dyDescent="0.2">
      <c r="A85" s="11" t="s">
        <v>718</v>
      </c>
      <c r="B85" s="12" t="s">
        <v>459</v>
      </c>
      <c r="C85" s="12"/>
      <c r="D85" s="12"/>
      <c r="E85" s="13"/>
      <c r="F85" s="13"/>
      <c r="G85" s="13">
        <v>-43.253</v>
      </c>
      <c r="H85" s="13"/>
      <c r="I85" s="13"/>
      <c r="J85" s="13"/>
    </row>
    <row r="86" spans="1:11" ht="56.25" x14ac:dyDescent="0.2">
      <c r="A86" s="15" t="s">
        <v>718</v>
      </c>
      <c r="B86" s="16" t="s">
        <v>460</v>
      </c>
      <c r="C86" s="16" t="s">
        <v>23</v>
      </c>
      <c r="D86" s="16" t="s">
        <v>24</v>
      </c>
      <c r="E86" s="17"/>
      <c r="F86" s="17"/>
      <c r="G86" s="17">
        <v>-43.253</v>
      </c>
      <c r="H86" s="17"/>
      <c r="I86" s="17"/>
      <c r="J86" s="17"/>
    </row>
    <row r="87" spans="1:11" ht="56.25" x14ac:dyDescent="0.2">
      <c r="A87" s="11" t="s">
        <v>394</v>
      </c>
      <c r="B87" s="12" t="s">
        <v>1059</v>
      </c>
      <c r="C87" s="12"/>
      <c r="D87" s="12"/>
      <c r="E87" s="13"/>
      <c r="F87" s="13"/>
      <c r="G87" s="13"/>
      <c r="H87" s="13">
        <v>10.54</v>
      </c>
      <c r="I87" s="13"/>
      <c r="J87" s="13"/>
    </row>
    <row r="88" spans="1:11" ht="78.75" x14ac:dyDescent="0.2">
      <c r="A88" s="14" t="s">
        <v>1060</v>
      </c>
      <c r="B88" s="12" t="s">
        <v>1061</v>
      </c>
      <c r="C88" s="12"/>
      <c r="D88" s="12"/>
      <c r="E88" s="13"/>
      <c r="F88" s="13"/>
      <c r="G88" s="13"/>
      <c r="H88" s="13">
        <v>10.54</v>
      </c>
      <c r="I88" s="13"/>
      <c r="J88" s="13"/>
    </row>
    <row r="89" spans="1:11" ht="78.75" x14ac:dyDescent="0.2">
      <c r="A89" s="18" t="s">
        <v>1060</v>
      </c>
      <c r="B89" s="16" t="s">
        <v>1062</v>
      </c>
      <c r="C89" s="16" t="s">
        <v>23</v>
      </c>
      <c r="D89" s="16" t="s">
        <v>24</v>
      </c>
      <c r="E89" s="17"/>
      <c r="F89" s="17"/>
      <c r="G89" s="17"/>
      <c r="H89" s="17">
        <v>10.54</v>
      </c>
      <c r="I89" s="17"/>
      <c r="J89" s="17"/>
    </row>
    <row r="90" spans="1:11" ht="33.75" x14ac:dyDescent="0.2">
      <c r="A90" s="11" t="s">
        <v>395</v>
      </c>
      <c r="B90" s="12" t="s">
        <v>683</v>
      </c>
      <c r="C90" s="12"/>
      <c r="D90" s="12"/>
      <c r="E90" s="13"/>
      <c r="F90" s="13"/>
      <c r="G90" s="13"/>
      <c r="H90" s="13">
        <v>4.2000000000000003E-2</v>
      </c>
      <c r="I90" s="13"/>
      <c r="J90" s="13"/>
    </row>
    <row r="91" spans="1:11" ht="67.5" x14ac:dyDescent="0.2">
      <c r="A91" s="11" t="s">
        <v>719</v>
      </c>
      <c r="B91" s="12" t="s">
        <v>461</v>
      </c>
      <c r="C91" s="12"/>
      <c r="D91" s="12"/>
      <c r="E91" s="13"/>
      <c r="F91" s="13"/>
      <c r="G91" s="13"/>
      <c r="H91" s="13">
        <v>-0.26600000000000001</v>
      </c>
      <c r="I91" s="13"/>
      <c r="J91" s="13"/>
    </row>
    <row r="92" spans="1:11" ht="56.25" x14ac:dyDescent="0.2">
      <c r="A92" s="15" t="s">
        <v>719</v>
      </c>
      <c r="B92" s="16" t="s">
        <v>462</v>
      </c>
      <c r="C92" s="16" t="s">
        <v>23</v>
      </c>
      <c r="D92" s="16" t="s">
        <v>24</v>
      </c>
      <c r="E92" s="17"/>
      <c r="F92" s="17"/>
      <c r="G92" s="17"/>
      <c r="H92" s="17">
        <v>-0.26600000000000001</v>
      </c>
      <c r="I92" s="17"/>
      <c r="J92" s="17"/>
    </row>
    <row r="93" spans="1:11" ht="45" x14ac:dyDescent="0.2">
      <c r="A93" s="11" t="s">
        <v>720</v>
      </c>
      <c r="B93" s="12" t="s">
        <v>463</v>
      </c>
      <c r="C93" s="12"/>
      <c r="D93" s="12"/>
      <c r="E93" s="13"/>
      <c r="F93" s="13"/>
      <c r="G93" s="13"/>
      <c r="H93" s="13">
        <v>0.308</v>
      </c>
      <c r="I93" s="13"/>
      <c r="J93" s="13"/>
    </row>
    <row r="94" spans="1:11" ht="45" x14ac:dyDescent="0.2">
      <c r="A94" s="15" t="s">
        <v>720</v>
      </c>
      <c r="B94" s="16" t="s">
        <v>464</v>
      </c>
      <c r="C94" s="16" t="s">
        <v>23</v>
      </c>
      <c r="D94" s="16" t="s">
        <v>24</v>
      </c>
      <c r="E94" s="17"/>
      <c r="F94" s="17"/>
      <c r="G94" s="17"/>
      <c r="H94" s="17">
        <v>0.308</v>
      </c>
      <c r="I94" s="17"/>
      <c r="J94" s="17"/>
    </row>
    <row r="95" spans="1:11" s="212" customFormat="1" ht="35.65" customHeight="1" x14ac:dyDescent="0.2">
      <c r="A95" s="28" t="s">
        <v>73</v>
      </c>
      <c r="B95" s="29" t="s">
        <v>74</v>
      </c>
      <c r="C95" s="29"/>
      <c r="D95" s="29"/>
      <c r="E95" s="22">
        <v>28500</v>
      </c>
      <c r="F95" s="22">
        <v>28500</v>
      </c>
      <c r="G95" s="223">
        <v>592.06700000000001</v>
      </c>
      <c r="H95" s="22">
        <v>20335.192999999999</v>
      </c>
      <c r="I95" s="22">
        <v>71.352000000000004</v>
      </c>
      <c r="J95" s="22">
        <v>71.352000000000004</v>
      </c>
      <c r="K95" s="225"/>
    </row>
    <row r="96" spans="1:11" ht="22.5" x14ac:dyDescent="0.2">
      <c r="A96" s="11" t="s">
        <v>73</v>
      </c>
      <c r="B96" s="12" t="s">
        <v>75</v>
      </c>
      <c r="C96" s="12"/>
      <c r="D96" s="12"/>
      <c r="E96" s="13">
        <v>28500</v>
      </c>
      <c r="F96" s="13">
        <v>28500</v>
      </c>
      <c r="G96" s="13">
        <v>592.06700000000001</v>
      </c>
      <c r="H96" s="13">
        <v>20335.057000000001</v>
      </c>
      <c r="I96" s="13">
        <v>71.350999999999999</v>
      </c>
      <c r="J96" s="13">
        <v>71.350999999999999</v>
      </c>
    </row>
    <row r="97" spans="1:11" ht="22.5" x14ac:dyDescent="0.2">
      <c r="A97" s="15" t="s">
        <v>73</v>
      </c>
      <c r="B97" s="16" t="s">
        <v>721</v>
      </c>
      <c r="C97" s="16" t="s">
        <v>23</v>
      </c>
      <c r="D97" s="16" t="s">
        <v>24</v>
      </c>
      <c r="E97" s="17">
        <v>28500</v>
      </c>
      <c r="F97" s="17">
        <v>28500</v>
      </c>
      <c r="G97" s="17"/>
      <c r="H97" s="17"/>
      <c r="I97" s="17"/>
      <c r="J97" s="17"/>
    </row>
    <row r="98" spans="1:11" ht="45" x14ac:dyDescent="0.2">
      <c r="A98" s="11" t="s">
        <v>76</v>
      </c>
      <c r="B98" s="12" t="s">
        <v>77</v>
      </c>
      <c r="C98" s="12"/>
      <c r="D98" s="12"/>
      <c r="E98" s="13"/>
      <c r="F98" s="13"/>
      <c r="G98" s="13">
        <v>581.34</v>
      </c>
      <c r="H98" s="13">
        <v>20207.156999999999</v>
      </c>
      <c r="I98" s="13"/>
      <c r="J98" s="13"/>
    </row>
    <row r="99" spans="1:11" ht="45" x14ac:dyDescent="0.2">
      <c r="A99" s="15" t="s">
        <v>76</v>
      </c>
      <c r="B99" s="16" t="s">
        <v>78</v>
      </c>
      <c r="C99" s="16" t="s">
        <v>23</v>
      </c>
      <c r="D99" s="16" t="s">
        <v>24</v>
      </c>
      <c r="E99" s="17"/>
      <c r="F99" s="17"/>
      <c r="G99" s="17">
        <v>581.34</v>
      </c>
      <c r="H99" s="17">
        <v>20207.156999999999</v>
      </c>
      <c r="I99" s="17"/>
      <c r="J99" s="17"/>
    </row>
    <row r="100" spans="1:11" ht="33.75" x14ac:dyDescent="0.2">
      <c r="A100" s="11" t="s">
        <v>79</v>
      </c>
      <c r="B100" s="12" t="s">
        <v>80</v>
      </c>
      <c r="C100" s="12"/>
      <c r="D100" s="12"/>
      <c r="E100" s="13"/>
      <c r="F100" s="13"/>
      <c r="G100" s="13">
        <v>10.476000000000001</v>
      </c>
      <c r="H100" s="13">
        <v>63.207000000000001</v>
      </c>
      <c r="I100" s="13"/>
      <c r="J100" s="13"/>
    </row>
    <row r="101" spans="1:11" ht="22.5" x14ac:dyDescent="0.2">
      <c r="A101" s="15" t="s">
        <v>79</v>
      </c>
      <c r="B101" s="16" t="s">
        <v>81</v>
      </c>
      <c r="C101" s="16" t="s">
        <v>23</v>
      </c>
      <c r="D101" s="16" t="s">
        <v>24</v>
      </c>
      <c r="E101" s="17"/>
      <c r="F101" s="17"/>
      <c r="G101" s="17">
        <v>10.476000000000001</v>
      </c>
      <c r="H101" s="17">
        <v>63.207000000000001</v>
      </c>
      <c r="I101" s="17"/>
      <c r="J101" s="17"/>
    </row>
    <row r="102" spans="1:11" ht="45" x14ac:dyDescent="0.2">
      <c r="A102" s="11" t="s">
        <v>82</v>
      </c>
      <c r="B102" s="12" t="s">
        <v>83</v>
      </c>
      <c r="C102" s="12"/>
      <c r="D102" s="12"/>
      <c r="E102" s="13"/>
      <c r="F102" s="13"/>
      <c r="G102" s="13">
        <v>0.25</v>
      </c>
      <c r="H102" s="13">
        <v>64.694000000000003</v>
      </c>
      <c r="I102" s="13"/>
      <c r="J102" s="13"/>
    </row>
    <row r="103" spans="1:11" ht="45" x14ac:dyDescent="0.2">
      <c r="A103" s="15" t="s">
        <v>82</v>
      </c>
      <c r="B103" s="16" t="s">
        <v>84</v>
      </c>
      <c r="C103" s="16" t="s">
        <v>23</v>
      </c>
      <c r="D103" s="16" t="s">
        <v>24</v>
      </c>
      <c r="E103" s="17"/>
      <c r="F103" s="17"/>
      <c r="G103" s="17">
        <v>0.25</v>
      </c>
      <c r="H103" s="17">
        <v>64.694000000000003</v>
      </c>
      <c r="I103" s="17"/>
      <c r="J103" s="17"/>
    </row>
    <row r="104" spans="1:11" ht="33.75" x14ac:dyDescent="0.2">
      <c r="A104" s="11" t="s">
        <v>88</v>
      </c>
      <c r="B104" s="12" t="s">
        <v>89</v>
      </c>
      <c r="C104" s="12"/>
      <c r="D104" s="12"/>
      <c r="E104" s="13"/>
      <c r="F104" s="13"/>
      <c r="G104" s="13"/>
      <c r="H104" s="13">
        <v>0.13600000000000001</v>
      </c>
      <c r="I104" s="13"/>
      <c r="J104" s="13"/>
    </row>
    <row r="105" spans="1:11" ht="45" x14ac:dyDescent="0.2">
      <c r="A105" s="11" t="s">
        <v>93</v>
      </c>
      <c r="B105" s="12" t="s">
        <v>94</v>
      </c>
      <c r="C105" s="12"/>
      <c r="D105" s="12"/>
      <c r="E105" s="13"/>
      <c r="F105" s="13"/>
      <c r="G105" s="13"/>
      <c r="H105" s="13">
        <v>0.13600000000000001</v>
      </c>
      <c r="I105" s="13"/>
      <c r="J105" s="13"/>
    </row>
    <row r="106" spans="1:11" ht="33.75" x14ac:dyDescent="0.2">
      <c r="A106" s="15" t="s">
        <v>93</v>
      </c>
      <c r="B106" s="16" t="s">
        <v>95</v>
      </c>
      <c r="C106" s="16" t="s">
        <v>23</v>
      </c>
      <c r="D106" s="16" t="s">
        <v>24</v>
      </c>
      <c r="E106" s="17"/>
      <c r="F106" s="17"/>
      <c r="G106" s="17"/>
      <c r="H106" s="17">
        <v>0.13600000000000001</v>
      </c>
      <c r="I106" s="17"/>
      <c r="J106" s="17"/>
    </row>
    <row r="107" spans="1:11" s="212" customFormat="1" ht="35.65" customHeight="1" x14ac:dyDescent="0.2">
      <c r="A107" s="28" t="s">
        <v>96</v>
      </c>
      <c r="B107" s="29" t="s">
        <v>97</v>
      </c>
      <c r="C107" s="29"/>
      <c r="D107" s="29"/>
      <c r="E107" s="22">
        <v>1445.5</v>
      </c>
      <c r="F107" s="22">
        <v>813.5</v>
      </c>
      <c r="G107" s="223">
        <v>222.108</v>
      </c>
      <c r="H107" s="22">
        <v>1054.203</v>
      </c>
      <c r="I107" s="22">
        <v>72.930000000000007</v>
      </c>
      <c r="J107" s="22">
        <v>129.589</v>
      </c>
      <c r="K107" s="225"/>
    </row>
    <row r="108" spans="1:11" x14ac:dyDescent="0.2">
      <c r="A108" s="11" t="s">
        <v>96</v>
      </c>
      <c r="B108" s="12" t="s">
        <v>98</v>
      </c>
      <c r="C108" s="12"/>
      <c r="D108" s="12"/>
      <c r="E108" s="13">
        <v>1445.5</v>
      </c>
      <c r="F108" s="13">
        <v>813.5</v>
      </c>
      <c r="G108" s="13">
        <v>222.108</v>
      </c>
      <c r="H108" s="13">
        <v>1054.203</v>
      </c>
      <c r="I108" s="13">
        <v>72.930000000000007</v>
      </c>
      <c r="J108" s="13">
        <v>129.589</v>
      </c>
    </row>
    <row r="109" spans="1:11" x14ac:dyDescent="0.2">
      <c r="A109" s="15" t="s">
        <v>96</v>
      </c>
      <c r="B109" s="16" t="s">
        <v>99</v>
      </c>
      <c r="C109" s="16" t="s">
        <v>23</v>
      </c>
      <c r="D109" s="16" t="s">
        <v>24</v>
      </c>
      <c r="E109" s="17">
        <v>1445.5</v>
      </c>
      <c r="F109" s="17">
        <v>813.5</v>
      </c>
      <c r="G109" s="17"/>
      <c r="H109" s="17"/>
      <c r="I109" s="17"/>
      <c r="J109" s="17"/>
    </row>
    <row r="110" spans="1:11" ht="45" x14ac:dyDescent="0.2">
      <c r="A110" s="11" t="s">
        <v>100</v>
      </c>
      <c r="B110" s="12" t="s">
        <v>101</v>
      </c>
      <c r="C110" s="12"/>
      <c r="D110" s="12"/>
      <c r="E110" s="13"/>
      <c r="F110" s="13"/>
      <c r="G110" s="13">
        <v>221.36799999999999</v>
      </c>
      <c r="H110" s="13">
        <v>1048.143</v>
      </c>
      <c r="I110" s="13"/>
      <c r="J110" s="13"/>
    </row>
    <row r="111" spans="1:11" ht="45" x14ac:dyDescent="0.2">
      <c r="A111" s="15" t="s">
        <v>100</v>
      </c>
      <c r="B111" s="16" t="s">
        <v>102</v>
      </c>
      <c r="C111" s="16" t="s">
        <v>23</v>
      </c>
      <c r="D111" s="16" t="s">
        <v>24</v>
      </c>
      <c r="E111" s="17"/>
      <c r="F111" s="17"/>
      <c r="G111" s="17">
        <v>221.36799999999999</v>
      </c>
      <c r="H111" s="17">
        <v>1048.143</v>
      </c>
      <c r="I111" s="17"/>
      <c r="J111" s="17"/>
    </row>
    <row r="112" spans="1:11" ht="22.5" x14ac:dyDescent="0.2">
      <c r="A112" s="11" t="s">
        <v>103</v>
      </c>
      <c r="B112" s="12" t="s">
        <v>104</v>
      </c>
      <c r="C112" s="12"/>
      <c r="D112" s="12"/>
      <c r="E112" s="13"/>
      <c r="F112" s="13"/>
      <c r="G112" s="13">
        <v>0.24099999999999999</v>
      </c>
      <c r="H112" s="13">
        <v>5.4359999999999999</v>
      </c>
      <c r="I112" s="13"/>
      <c r="J112" s="13"/>
    </row>
    <row r="113" spans="1:12" ht="22.5" x14ac:dyDescent="0.2">
      <c r="A113" s="15" t="s">
        <v>103</v>
      </c>
      <c r="B113" s="16" t="s">
        <v>105</v>
      </c>
      <c r="C113" s="16" t="s">
        <v>23</v>
      </c>
      <c r="D113" s="16" t="s">
        <v>24</v>
      </c>
      <c r="E113" s="17"/>
      <c r="F113" s="17"/>
      <c r="G113" s="17">
        <v>0.24099999999999999</v>
      </c>
      <c r="H113" s="17">
        <v>5.4359999999999999</v>
      </c>
      <c r="I113" s="17"/>
      <c r="J113" s="17"/>
    </row>
    <row r="114" spans="1:12" ht="45" x14ac:dyDescent="0.2">
      <c r="A114" s="11" t="s">
        <v>106</v>
      </c>
      <c r="B114" s="12" t="s">
        <v>107</v>
      </c>
      <c r="C114" s="12"/>
      <c r="D114" s="12"/>
      <c r="E114" s="13"/>
      <c r="F114" s="13"/>
      <c r="G114" s="13">
        <v>0.5</v>
      </c>
      <c r="H114" s="13">
        <v>0.625</v>
      </c>
      <c r="I114" s="13"/>
      <c r="J114" s="13"/>
    </row>
    <row r="115" spans="1:12" ht="33.75" x14ac:dyDescent="0.2">
      <c r="A115" s="15" t="s">
        <v>106</v>
      </c>
      <c r="B115" s="16" t="s">
        <v>108</v>
      </c>
      <c r="C115" s="16" t="s">
        <v>23</v>
      </c>
      <c r="D115" s="16" t="s">
        <v>24</v>
      </c>
      <c r="E115" s="17"/>
      <c r="F115" s="17"/>
      <c r="G115" s="17">
        <v>0.5</v>
      </c>
      <c r="H115" s="17">
        <v>0.625</v>
      </c>
      <c r="I115" s="17"/>
      <c r="J115" s="17"/>
    </row>
    <row r="116" spans="1:12" s="212" customFormat="1" ht="31.35" customHeight="1" x14ac:dyDescent="0.2">
      <c r="A116" s="28" t="s">
        <v>111</v>
      </c>
      <c r="B116" s="29" t="s">
        <v>112</v>
      </c>
      <c r="C116" s="29"/>
      <c r="D116" s="29"/>
      <c r="E116" s="22">
        <v>130</v>
      </c>
      <c r="F116" s="22">
        <v>130</v>
      </c>
      <c r="G116" s="223">
        <v>1.33</v>
      </c>
      <c r="H116" s="22">
        <v>24.111999999999998</v>
      </c>
      <c r="I116" s="22">
        <v>18.547999999999998</v>
      </c>
      <c r="J116" s="22">
        <v>18.547999999999998</v>
      </c>
      <c r="K116" s="225"/>
    </row>
    <row r="117" spans="1:12" ht="33.75" x14ac:dyDescent="0.2">
      <c r="A117" s="11" t="s">
        <v>113</v>
      </c>
      <c r="B117" s="12" t="s">
        <v>114</v>
      </c>
      <c r="C117" s="12"/>
      <c r="D117" s="12"/>
      <c r="E117" s="13">
        <v>130</v>
      </c>
      <c r="F117" s="13">
        <v>130</v>
      </c>
      <c r="G117" s="13">
        <v>1.33</v>
      </c>
      <c r="H117" s="13">
        <v>24.111999999999998</v>
      </c>
      <c r="I117" s="13">
        <v>18.547999999999998</v>
      </c>
      <c r="J117" s="13">
        <v>18.547999999999998</v>
      </c>
    </row>
    <row r="118" spans="1:12" ht="33.75" x14ac:dyDescent="0.2">
      <c r="A118" s="15" t="s">
        <v>113</v>
      </c>
      <c r="B118" s="16" t="s">
        <v>398</v>
      </c>
      <c r="C118" s="16" t="s">
        <v>23</v>
      </c>
      <c r="D118" s="16" t="s">
        <v>24</v>
      </c>
      <c r="E118" s="17">
        <v>130</v>
      </c>
      <c r="F118" s="17">
        <v>130</v>
      </c>
      <c r="G118" s="17"/>
      <c r="H118" s="17"/>
      <c r="I118" s="17"/>
      <c r="J118" s="17"/>
    </row>
    <row r="119" spans="1:12" ht="67.5" x14ac:dyDescent="0.2">
      <c r="A119" s="11" t="s">
        <v>115</v>
      </c>
      <c r="B119" s="12" t="s">
        <v>116</v>
      </c>
      <c r="C119" s="12"/>
      <c r="D119" s="12"/>
      <c r="E119" s="13"/>
      <c r="F119" s="13"/>
      <c r="G119" s="13">
        <v>1.33</v>
      </c>
      <c r="H119" s="13">
        <v>24.045000000000002</v>
      </c>
      <c r="I119" s="13"/>
      <c r="J119" s="13"/>
    </row>
    <row r="120" spans="1:12" ht="56.25" x14ac:dyDescent="0.2">
      <c r="A120" s="15" t="s">
        <v>115</v>
      </c>
      <c r="B120" s="16" t="s">
        <v>117</v>
      </c>
      <c r="C120" s="16" t="s">
        <v>23</v>
      </c>
      <c r="D120" s="16" t="s">
        <v>24</v>
      </c>
      <c r="E120" s="17"/>
      <c r="F120" s="17"/>
      <c r="G120" s="17">
        <v>1.33</v>
      </c>
      <c r="H120" s="17">
        <v>24.045000000000002</v>
      </c>
      <c r="I120" s="17"/>
      <c r="J120" s="17"/>
    </row>
    <row r="121" spans="1:12" ht="45" x14ac:dyDescent="0.2">
      <c r="A121" s="11" t="s">
        <v>118</v>
      </c>
      <c r="B121" s="12" t="s">
        <v>578</v>
      </c>
      <c r="C121" s="12"/>
      <c r="D121" s="12"/>
      <c r="E121" s="13"/>
      <c r="F121" s="13"/>
      <c r="G121" s="13"/>
      <c r="H121" s="13">
        <v>6.7000000000000004E-2</v>
      </c>
      <c r="I121" s="13"/>
      <c r="J121" s="13"/>
    </row>
    <row r="122" spans="1:12" ht="45" x14ac:dyDescent="0.2">
      <c r="A122" s="15" t="s">
        <v>118</v>
      </c>
      <c r="B122" s="16" t="s">
        <v>579</v>
      </c>
      <c r="C122" s="16" t="s">
        <v>23</v>
      </c>
      <c r="D122" s="16" t="s">
        <v>24</v>
      </c>
      <c r="E122" s="17"/>
      <c r="F122" s="17"/>
      <c r="G122" s="17"/>
      <c r="H122" s="17">
        <v>6.7000000000000004E-2</v>
      </c>
      <c r="I122" s="17"/>
      <c r="J122" s="17"/>
    </row>
    <row r="123" spans="1:12" ht="17.649999999999999" customHeight="1" x14ac:dyDescent="0.2">
      <c r="A123" s="25" t="s">
        <v>119</v>
      </c>
      <c r="B123" s="26" t="s">
        <v>120</v>
      </c>
      <c r="C123" s="26"/>
      <c r="D123" s="26"/>
      <c r="E123" s="19">
        <v>8815</v>
      </c>
      <c r="F123" s="19">
        <v>8815</v>
      </c>
      <c r="G123" s="223">
        <v>878.38400000000001</v>
      </c>
      <c r="H123" s="19">
        <v>6158.8890000000001</v>
      </c>
      <c r="I123" s="19">
        <v>69.867999999999995</v>
      </c>
      <c r="J123" s="19">
        <v>69.867999999999995</v>
      </c>
      <c r="K123" s="224"/>
      <c r="L123" s="20"/>
    </row>
    <row r="124" spans="1:12" ht="33.75" x14ac:dyDescent="0.2">
      <c r="A124" s="11" t="s">
        <v>121</v>
      </c>
      <c r="B124" s="12" t="s">
        <v>122</v>
      </c>
      <c r="C124" s="12"/>
      <c r="D124" s="12"/>
      <c r="E124" s="13">
        <v>8800</v>
      </c>
      <c r="F124" s="13">
        <v>8800</v>
      </c>
      <c r="G124" s="13">
        <v>878.38400000000001</v>
      </c>
      <c r="H124" s="13">
        <v>6153.8890000000001</v>
      </c>
      <c r="I124" s="13">
        <v>69.930999999999997</v>
      </c>
      <c r="J124" s="13">
        <v>69.930999999999997</v>
      </c>
    </row>
    <row r="125" spans="1:12" ht="45" x14ac:dyDescent="0.2">
      <c r="A125" s="11" t="s">
        <v>123</v>
      </c>
      <c r="B125" s="12" t="s">
        <v>124</v>
      </c>
      <c r="C125" s="12"/>
      <c r="D125" s="12"/>
      <c r="E125" s="13">
        <v>8800</v>
      </c>
      <c r="F125" s="13">
        <v>8800</v>
      </c>
      <c r="G125" s="13">
        <v>878.38400000000001</v>
      </c>
      <c r="H125" s="13">
        <v>6153.8890000000001</v>
      </c>
      <c r="I125" s="13">
        <v>69.930999999999997</v>
      </c>
      <c r="J125" s="13">
        <v>69.930999999999997</v>
      </c>
    </row>
    <row r="126" spans="1:12" ht="33.75" x14ac:dyDescent="0.2">
      <c r="A126" s="15" t="s">
        <v>123</v>
      </c>
      <c r="B126" s="16" t="s">
        <v>125</v>
      </c>
      <c r="C126" s="16" t="s">
        <v>23</v>
      </c>
      <c r="D126" s="16" t="s">
        <v>24</v>
      </c>
      <c r="E126" s="17">
        <v>8800</v>
      </c>
      <c r="F126" s="17">
        <v>8800</v>
      </c>
      <c r="G126" s="17"/>
      <c r="H126" s="17"/>
      <c r="I126" s="17"/>
      <c r="J126" s="17"/>
    </row>
    <row r="127" spans="1:12" ht="78.75" x14ac:dyDescent="0.2">
      <c r="A127" s="14" t="s">
        <v>126</v>
      </c>
      <c r="B127" s="12" t="s">
        <v>127</v>
      </c>
      <c r="C127" s="12"/>
      <c r="D127" s="12"/>
      <c r="E127" s="13"/>
      <c r="F127" s="13"/>
      <c r="G127" s="13">
        <v>878.38400000000001</v>
      </c>
      <c r="H127" s="13">
        <v>6153.4889999999996</v>
      </c>
      <c r="I127" s="13"/>
      <c r="J127" s="13"/>
    </row>
    <row r="128" spans="1:12" ht="67.5" x14ac:dyDescent="0.2">
      <c r="A128" s="18" t="s">
        <v>126</v>
      </c>
      <c r="B128" s="16" t="s">
        <v>128</v>
      </c>
      <c r="C128" s="16" t="s">
        <v>23</v>
      </c>
      <c r="D128" s="16" t="s">
        <v>24</v>
      </c>
      <c r="E128" s="17"/>
      <c r="F128" s="17"/>
      <c r="G128" s="17">
        <v>878.38400000000001</v>
      </c>
      <c r="H128" s="17">
        <v>6153.4889999999996</v>
      </c>
      <c r="I128" s="17"/>
      <c r="J128" s="17"/>
    </row>
    <row r="129" spans="1:12" ht="45" x14ac:dyDescent="0.2">
      <c r="A129" s="11" t="s">
        <v>465</v>
      </c>
      <c r="B129" s="12" t="s">
        <v>466</v>
      </c>
      <c r="C129" s="12"/>
      <c r="D129" s="12"/>
      <c r="E129" s="13"/>
      <c r="F129" s="13"/>
      <c r="G129" s="13"/>
      <c r="H129" s="13">
        <v>0.4</v>
      </c>
      <c r="I129" s="13"/>
      <c r="J129" s="13"/>
    </row>
    <row r="130" spans="1:12" ht="45" x14ac:dyDescent="0.2">
      <c r="A130" s="15" t="s">
        <v>465</v>
      </c>
      <c r="B130" s="16" t="s">
        <v>467</v>
      </c>
      <c r="C130" s="16" t="s">
        <v>23</v>
      </c>
      <c r="D130" s="16" t="s">
        <v>24</v>
      </c>
      <c r="E130" s="17"/>
      <c r="F130" s="17"/>
      <c r="G130" s="17"/>
      <c r="H130" s="17">
        <v>0.4</v>
      </c>
      <c r="I130" s="17"/>
      <c r="J130" s="17"/>
    </row>
    <row r="131" spans="1:12" ht="33.75" x14ac:dyDescent="0.2">
      <c r="A131" s="11" t="s">
        <v>129</v>
      </c>
      <c r="B131" s="12" t="s">
        <v>130</v>
      </c>
      <c r="C131" s="12"/>
      <c r="D131" s="12"/>
      <c r="E131" s="13">
        <v>15</v>
      </c>
      <c r="F131" s="13">
        <v>15</v>
      </c>
      <c r="G131" s="13"/>
      <c r="H131" s="13">
        <v>5</v>
      </c>
      <c r="I131" s="13">
        <v>33.332999999999998</v>
      </c>
      <c r="J131" s="13">
        <v>33.332999999999998</v>
      </c>
    </row>
    <row r="132" spans="1:12" ht="22.5" x14ac:dyDescent="0.2">
      <c r="A132" s="11" t="s">
        <v>131</v>
      </c>
      <c r="B132" s="12" t="s">
        <v>132</v>
      </c>
      <c r="C132" s="12"/>
      <c r="D132" s="12"/>
      <c r="E132" s="13">
        <v>15</v>
      </c>
      <c r="F132" s="13">
        <v>15</v>
      </c>
      <c r="G132" s="13"/>
      <c r="H132" s="13">
        <v>5</v>
      </c>
      <c r="I132" s="13">
        <v>33.332999999999998</v>
      </c>
      <c r="J132" s="13">
        <v>33.332999999999998</v>
      </c>
    </row>
    <row r="133" spans="1:12" ht="56.25" x14ac:dyDescent="0.2">
      <c r="A133" s="11" t="s">
        <v>133</v>
      </c>
      <c r="B133" s="12" t="s">
        <v>722</v>
      </c>
      <c r="C133" s="12"/>
      <c r="D133" s="12"/>
      <c r="E133" s="13">
        <v>15</v>
      </c>
      <c r="F133" s="13">
        <v>15</v>
      </c>
      <c r="G133" s="13"/>
      <c r="H133" s="13">
        <v>5</v>
      </c>
      <c r="I133" s="13">
        <v>33.332999999999998</v>
      </c>
      <c r="J133" s="13">
        <v>33.332999999999998</v>
      </c>
    </row>
    <row r="134" spans="1:12" ht="56.25" x14ac:dyDescent="0.2">
      <c r="A134" s="15" t="s">
        <v>133</v>
      </c>
      <c r="B134" s="16" t="s">
        <v>723</v>
      </c>
      <c r="C134" s="16" t="s">
        <v>23</v>
      </c>
      <c r="D134" s="16" t="s">
        <v>24</v>
      </c>
      <c r="E134" s="17">
        <v>15</v>
      </c>
      <c r="F134" s="17">
        <v>15</v>
      </c>
      <c r="G134" s="17"/>
      <c r="H134" s="17">
        <v>5</v>
      </c>
      <c r="I134" s="17">
        <v>33.332999999999998</v>
      </c>
      <c r="J134" s="17">
        <v>33.332999999999998</v>
      </c>
    </row>
    <row r="135" spans="1:12" ht="45.75" customHeight="1" x14ac:dyDescent="0.2">
      <c r="A135" s="25" t="s">
        <v>134</v>
      </c>
      <c r="B135" s="26" t="s">
        <v>135</v>
      </c>
      <c r="C135" s="26"/>
      <c r="D135" s="26"/>
      <c r="E135" s="19">
        <v>13188.879000000001</v>
      </c>
      <c r="F135" s="19">
        <v>22341.657999999999</v>
      </c>
      <c r="G135" s="223">
        <v>1028.0519999999999</v>
      </c>
      <c r="H135" s="19">
        <v>19098.526999999998</v>
      </c>
      <c r="I135" s="19">
        <v>144.80799999999999</v>
      </c>
      <c r="J135" s="19">
        <v>85.483999999999995</v>
      </c>
      <c r="K135" s="224"/>
      <c r="L135" s="20"/>
    </row>
    <row r="136" spans="1:12" s="212" customFormat="1" ht="72" customHeight="1" x14ac:dyDescent="0.2">
      <c r="A136" s="28" t="s">
        <v>141</v>
      </c>
      <c r="B136" s="29" t="s">
        <v>142</v>
      </c>
      <c r="C136" s="29"/>
      <c r="D136" s="29"/>
      <c r="E136" s="22">
        <v>12198.7</v>
      </c>
      <c r="F136" s="22">
        <v>21346.413</v>
      </c>
      <c r="G136" s="223">
        <v>818.2</v>
      </c>
      <c r="H136" s="22">
        <v>18268.88</v>
      </c>
      <c r="I136" s="22">
        <v>149.761</v>
      </c>
      <c r="J136" s="22">
        <v>85.582999999999998</v>
      </c>
      <c r="K136" s="225"/>
    </row>
    <row r="137" spans="1:12" s="212" customFormat="1" ht="72" customHeight="1" x14ac:dyDescent="0.2">
      <c r="A137" s="28" t="s">
        <v>143</v>
      </c>
      <c r="B137" s="29" t="s">
        <v>144</v>
      </c>
      <c r="C137" s="29"/>
      <c r="D137" s="29"/>
      <c r="E137" s="22">
        <v>11938.7</v>
      </c>
      <c r="F137" s="22">
        <v>20834.8</v>
      </c>
      <c r="G137" s="223">
        <v>817.57399999999996</v>
      </c>
      <c r="H137" s="22">
        <v>17863.22</v>
      </c>
      <c r="I137" s="22">
        <v>149.625</v>
      </c>
      <c r="J137" s="22">
        <v>85.736999999999995</v>
      </c>
      <c r="K137" s="225">
        <f>G138+G140+G143</f>
        <v>818.19899999999996</v>
      </c>
    </row>
    <row r="138" spans="1:12" ht="78.75" x14ac:dyDescent="0.2">
      <c r="A138" s="14" t="s">
        <v>580</v>
      </c>
      <c r="B138" s="12" t="s">
        <v>415</v>
      </c>
      <c r="C138" s="12"/>
      <c r="D138" s="12"/>
      <c r="E138" s="13">
        <v>6500</v>
      </c>
      <c r="F138" s="13">
        <v>12545</v>
      </c>
      <c r="G138" s="13">
        <v>240.511</v>
      </c>
      <c r="H138" s="13">
        <v>10516.728999999999</v>
      </c>
      <c r="I138" s="13">
        <v>161.79599999999999</v>
      </c>
      <c r="J138" s="13">
        <v>83.831999999999994</v>
      </c>
    </row>
    <row r="139" spans="1:12" ht="78.75" x14ac:dyDescent="0.2">
      <c r="A139" s="18" t="s">
        <v>580</v>
      </c>
      <c r="B139" s="16" t="s">
        <v>416</v>
      </c>
      <c r="C139" s="16" t="s">
        <v>23</v>
      </c>
      <c r="D139" s="16" t="s">
        <v>24</v>
      </c>
      <c r="E139" s="17">
        <v>6500</v>
      </c>
      <c r="F139" s="17">
        <v>12545</v>
      </c>
      <c r="G139" s="17">
        <v>240.511</v>
      </c>
      <c r="H139" s="17">
        <v>10516.728999999999</v>
      </c>
      <c r="I139" s="17">
        <v>161.79599999999999</v>
      </c>
      <c r="J139" s="17">
        <v>83.831999999999994</v>
      </c>
      <c r="K139" s="20">
        <f>G139+G140+G143</f>
        <v>818.19899999999996</v>
      </c>
    </row>
    <row r="140" spans="1:12" ht="67.5" x14ac:dyDescent="0.2">
      <c r="A140" s="14" t="s">
        <v>145</v>
      </c>
      <c r="B140" s="12" t="s">
        <v>146</v>
      </c>
      <c r="C140" s="12"/>
      <c r="D140" s="12"/>
      <c r="E140" s="13">
        <v>5438.7</v>
      </c>
      <c r="F140" s="13">
        <v>8289.7999999999993</v>
      </c>
      <c r="G140" s="13">
        <v>577.06299999999999</v>
      </c>
      <c r="H140" s="13">
        <v>7346.4920000000002</v>
      </c>
      <c r="I140" s="13">
        <v>135.078</v>
      </c>
      <c r="J140" s="13">
        <v>88.620999999999995</v>
      </c>
    </row>
    <row r="141" spans="1:12" ht="67.5" x14ac:dyDescent="0.2">
      <c r="A141" s="18" t="s">
        <v>145</v>
      </c>
      <c r="B141" s="16" t="s">
        <v>148</v>
      </c>
      <c r="C141" s="16" t="s">
        <v>23</v>
      </c>
      <c r="D141" s="16" t="s">
        <v>24</v>
      </c>
      <c r="E141" s="17">
        <v>2632</v>
      </c>
      <c r="F141" s="17">
        <v>2624.9</v>
      </c>
      <c r="G141" s="17">
        <v>124.99299999999999</v>
      </c>
      <c r="H141" s="17">
        <v>1643.0440000000001</v>
      </c>
      <c r="I141" s="17">
        <v>62.426000000000002</v>
      </c>
      <c r="J141" s="17">
        <v>62.594999999999999</v>
      </c>
    </row>
    <row r="142" spans="1:12" ht="67.5" x14ac:dyDescent="0.2">
      <c r="A142" s="18" t="s">
        <v>145</v>
      </c>
      <c r="B142" s="16" t="s">
        <v>149</v>
      </c>
      <c r="C142" s="16" t="s">
        <v>23</v>
      </c>
      <c r="D142" s="16" t="s">
        <v>24</v>
      </c>
      <c r="E142" s="17">
        <v>2806.7</v>
      </c>
      <c r="F142" s="17">
        <v>5664.9</v>
      </c>
      <c r="G142" s="17">
        <v>452.07</v>
      </c>
      <c r="H142" s="17">
        <v>5703.4480000000003</v>
      </c>
      <c r="I142" s="17">
        <v>203.208</v>
      </c>
      <c r="J142" s="17">
        <v>100.681</v>
      </c>
    </row>
    <row r="143" spans="1:12" s="212" customFormat="1" ht="72" customHeight="1" x14ac:dyDescent="0.2">
      <c r="A143" s="28" t="s">
        <v>417</v>
      </c>
      <c r="B143" s="29" t="s">
        <v>468</v>
      </c>
      <c r="C143" s="29"/>
      <c r="D143" s="29"/>
      <c r="E143" s="22">
        <v>260</v>
      </c>
      <c r="F143" s="22">
        <v>230</v>
      </c>
      <c r="G143" s="223">
        <v>0.625</v>
      </c>
      <c r="H143" s="22">
        <v>139.047</v>
      </c>
      <c r="I143" s="22">
        <v>53.478999999999999</v>
      </c>
      <c r="J143" s="22">
        <v>60.454999999999998</v>
      </c>
      <c r="K143" s="225"/>
    </row>
    <row r="144" spans="1:12" ht="67.5" x14ac:dyDescent="0.2">
      <c r="A144" s="11" t="s">
        <v>419</v>
      </c>
      <c r="B144" s="12" t="s">
        <v>418</v>
      </c>
      <c r="C144" s="12"/>
      <c r="D144" s="12"/>
      <c r="E144" s="13">
        <v>260</v>
      </c>
      <c r="F144" s="13">
        <v>230</v>
      </c>
      <c r="G144" s="13">
        <v>0.625</v>
      </c>
      <c r="H144" s="13">
        <v>139.047</v>
      </c>
      <c r="I144" s="13">
        <v>53.478999999999999</v>
      </c>
      <c r="J144" s="13">
        <v>60.454999999999998</v>
      </c>
    </row>
    <row r="145" spans="1:11" ht="67.5" x14ac:dyDescent="0.2">
      <c r="A145" s="15" t="s">
        <v>419</v>
      </c>
      <c r="B145" s="16" t="s">
        <v>420</v>
      </c>
      <c r="C145" s="16" t="s">
        <v>23</v>
      </c>
      <c r="D145" s="16" t="s">
        <v>24</v>
      </c>
      <c r="E145" s="17">
        <v>260</v>
      </c>
      <c r="F145" s="17">
        <v>230</v>
      </c>
      <c r="G145" s="17">
        <v>0.625</v>
      </c>
      <c r="H145" s="17">
        <v>139.047</v>
      </c>
      <c r="I145" s="17">
        <v>53.478999999999999</v>
      </c>
      <c r="J145" s="17">
        <v>60.454999999999998</v>
      </c>
    </row>
    <row r="146" spans="1:11" ht="78.75" x14ac:dyDescent="0.2">
      <c r="A146" s="14" t="s">
        <v>150</v>
      </c>
      <c r="B146" s="12" t="s">
        <v>151</v>
      </c>
      <c r="C146" s="12"/>
      <c r="D146" s="12"/>
      <c r="E146" s="13"/>
      <c r="F146" s="13">
        <v>281.613</v>
      </c>
      <c r="G146" s="13"/>
      <c r="H146" s="13">
        <v>266.613</v>
      </c>
      <c r="I146" s="13"/>
      <c r="J146" s="13">
        <v>94.674000000000007</v>
      </c>
    </row>
    <row r="147" spans="1:11" ht="67.5" x14ac:dyDescent="0.2">
      <c r="A147" s="11" t="s">
        <v>152</v>
      </c>
      <c r="B147" s="12" t="s">
        <v>153</v>
      </c>
      <c r="C147" s="12"/>
      <c r="D147" s="12"/>
      <c r="E147" s="13"/>
      <c r="F147" s="13">
        <v>281.613</v>
      </c>
      <c r="G147" s="13"/>
      <c r="H147" s="13">
        <v>266.613</v>
      </c>
      <c r="I147" s="13"/>
      <c r="J147" s="13">
        <v>94.674000000000007</v>
      </c>
    </row>
    <row r="148" spans="1:11" ht="56.25" x14ac:dyDescent="0.2">
      <c r="A148" s="15" t="s">
        <v>152</v>
      </c>
      <c r="B148" s="16" t="s">
        <v>154</v>
      </c>
      <c r="C148" s="16" t="s">
        <v>23</v>
      </c>
      <c r="D148" s="16" t="s">
        <v>24</v>
      </c>
      <c r="E148" s="17"/>
      <c r="F148" s="17">
        <v>281.613</v>
      </c>
      <c r="G148" s="17"/>
      <c r="H148" s="17">
        <v>266.613</v>
      </c>
      <c r="I148" s="17"/>
      <c r="J148" s="17">
        <v>94.674000000000007</v>
      </c>
    </row>
    <row r="149" spans="1:11" s="212" customFormat="1" ht="58.35" customHeight="1" x14ac:dyDescent="0.2">
      <c r="A149" s="28" t="s">
        <v>724</v>
      </c>
      <c r="B149" s="29" t="s">
        <v>725</v>
      </c>
      <c r="C149" s="29"/>
      <c r="D149" s="29"/>
      <c r="E149" s="22">
        <v>1.8</v>
      </c>
      <c r="F149" s="22">
        <v>4.0999999999999996</v>
      </c>
      <c r="G149" s="223"/>
      <c r="H149" s="22">
        <v>4.0880000000000001</v>
      </c>
      <c r="I149" s="22">
        <v>227.13300000000001</v>
      </c>
      <c r="J149" s="22">
        <v>99.716999999999999</v>
      </c>
      <c r="K149" s="225"/>
    </row>
    <row r="150" spans="1:11" ht="33.75" x14ac:dyDescent="0.2">
      <c r="A150" s="11" t="s">
        <v>421</v>
      </c>
      <c r="B150" s="12" t="s">
        <v>726</v>
      </c>
      <c r="C150" s="12"/>
      <c r="D150" s="12"/>
      <c r="E150" s="13">
        <v>1.8</v>
      </c>
      <c r="F150" s="13">
        <v>4.0999999999999996</v>
      </c>
      <c r="G150" s="13"/>
      <c r="H150" s="13">
        <v>4.0880000000000001</v>
      </c>
      <c r="I150" s="13">
        <v>227.13300000000001</v>
      </c>
      <c r="J150" s="13">
        <v>99.716999999999999</v>
      </c>
    </row>
    <row r="151" spans="1:11" ht="135" x14ac:dyDescent="0.2">
      <c r="A151" s="14" t="s">
        <v>727</v>
      </c>
      <c r="B151" s="12" t="s">
        <v>728</v>
      </c>
      <c r="C151" s="12"/>
      <c r="D151" s="12"/>
      <c r="E151" s="13">
        <v>1.8</v>
      </c>
      <c r="F151" s="13">
        <v>3.4</v>
      </c>
      <c r="G151" s="13"/>
      <c r="H151" s="13">
        <v>3.3860000000000001</v>
      </c>
      <c r="I151" s="13">
        <v>188.12200000000001</v>
      </c>
      <c r="J151" s="13">
        <v>99.593999999999994</v>
      </c>
    </row>
    <row r="152" spans="1:11" ht="123.75" x14ac:dyDescent="0.2">
      <c r="A152" s="18" t="s">
        <v>727</v>
      </c>
      <c r="B152" s="16" t="s">
        <v>729</v>
      </c>
      <c r="C152" s="16" t="s">
        <v>23</v>
      </c>
      <c r="D152" s="16" t="s">
        <v>24</v>
      </c>
      <c r="E152" s="17">
        <v>1.8</v>
      </c>
      <c r="F152" s="17">
        <v>3.4</v>
      </c>
      <c r="G152" s="17"/>
      <c r="H152" s="17">
        <v>3.3860000000000001</v>
      </c>
      <c r="I152" s="17">
        <v>188.12200000000001</v>
      </c>
      <c r="J152" s="17">
        <v>99.593999999999994</v>
      </c>
    </row>
    <row r="153" spans="1:11" ht="101.25" x14ac:dyDescent="0.2">
      <c r="A153" s="14" t="s">
        <v>912</v>
      </c>
      <c r="B153" s="12" t="s">
        <v>1063</v>
      </c>
      <c r="C153" s="12"/>
      <c r="D153" s="12"/>
      <c r="E153" s="13"/>
      <c r="F153" s="13">
        <v>0.7</v>
      </c>
      <c r="G153" s="13"/>
      <c r="H153" s="13">
        <v>0.70199999999999996</v>
      </c>
      <c r="I153" s="13"/>
      <c r="J153" s="13">
        <v>100.31399999999999</v>
      </c>
    </row>
    <row r="154" spans="1:11" ht="90" x14ac:dyDescent="0.2">
      <c r="A154" s="18" t="s">
        <v>912</v>
      </c>
      <c r="B154" s="16" t="s">
        <v>1064</v>
      </c>
      <c r="C154" s="16" t="s">
        <v>23</v>
      </c>
      <c r="D154" s="16" t="s">
        <v>24</v>
      </c>
      <c r="E154" s="17"/>
      <c r="F154" s="17">
        <v>0.7</v>
      </c>
      <c r="G154" s="17"/>
      <c r="H154" s="17">
        <v>0.70199999999999996</v>
      </c>
      <c r="I154" s="17"/>
      <c r="J154" s="17">
        <v>100.31399999999999</v>
      </c>
    </row>
    <row r="155" spans="1:11" s="212" customFormat="1" ht="58.35" customHeight="1" x14ac:dyDescent="0.2">
      <c r="A155" s="28" t="s">
        <v>730</v>
      </c>
      <c r="B155" s="29" t="s">
        <v>731</v>
      </c>
      <c r="C155" s="29"/>
      <c r="D155" s="29"/>
      <c r="E155" s="22">
        <v>3.379</v>
      </c>
      <c r="F155" s="22">
        <v>6.1449999999999996</v>
      </c>
      <c r="G155" s="223"/>
      <c r="H155" s="22">
        <v>6.1449999999999996</v>
      </c>
      <c r="I155" s="22">
        <v>181.88</v>
      </c>
      <c r="J155" s="22">
        <v>100</v>
      </c>
      <c r="K155" s="225"/>
    </row>
    <row r="156" spans="1:11" ht="45" x14ac:dyDescent="0.2">
      <c r="A156" s="11" t="s">
        <v>732</v>
      </c>
      <c r="B156" s="12" t="s">
        <v>733</v>
      </c>
      <c r="C156" s="12"/>
      <c r="D156" s="12"/>
      <c r="E156" s="13">
        <v>3.379</v>
      </c>
      <c r="F156" s="13">
        <v>6.1449999999999996</v>
      </c>
      <c r="G156" s="13"/>
      <c r="H156" s="13">
        <v>6.1449999999999996</v>
      </c>
      <c r="I156" s="13">
        <v>181.88</v>
      </c>
      <c r="J156" s="13">
        <v>100</v>
      </c>
    </row>
    <row r="157" spans="1:11" ht="56.25" x14ac:dyDescent="0.2">
      <c r="A157" s="11" t="s">
        <v>734</v>
      </c>
      <c r="B157" s="12" t="s">
        <v>735</v>
      </c>
      <c r="C157" s="12"/>
      <c r="D157" s="12"/>
      <c r="E157" s="13">
        <v>3.379</v>
      </c>
      <c r="F157" s="13">
        <v>6.1449999999999996</v>
      </c>
      <c r="G157" s="13"/>
      <c r="H157" s="13">
        <v>6.1449999999999996</v>
      </c>
      <c r="I157" s="13">
        <v>181.88</v>
      </c>
      <c r="J157" s="13">
        <v>100</v>
      </c>
    </row>
    <row r="158" spans="1:11" ht="45" x14ac:dyDescent="0.2">
      <c r="A158" s="15" t="s">
        <v>734</v>
      </c>
      <c r="B158" s="16" t="s">
        <v>736</v>
      </c>
      <c r="C158" s="16" t="s">
        <v>23</v>
      </c>
      <c r="D158" s="16" t="s">
        <v>24</v>
      </c>
      <c r="E158" s="17">
        <v>3.379</v>
      </c>
      <c r="F158" s="17">
        <v>6.1449999999999996</v>
      </c>
      <c r="G158" s="17"/>
      <c r="H158" s="17">
        <v>6.1449999999999996</v>
      </c>
      <c r="I158" s="17">
        <v>181.88</v>
      </c>
      <c r="J158" s="17">
        <v>100</v>
      </c>
    </row>
    <row r="159" spans="1:11" s="212" customFormat="1" ht="74.45" customHeight="1" x14ac:dyDescent="0.2">
      <c r="A159" s="28" t="s">
        <v>155</v>
      </c>
      <c r="B159" s="29" t="s">
        <v>156</v>
      </c>
      <c r="C159" s="29"/>
      <c r="D159" s="29"/>
      <c r="E159" s="22">
        <v>985</v>
      </c>
      <c r="F159" s="22">
        <v>985</v>
      </c>
      <c r="G159" s="223">
        <v>209.85300000000001</v>
      </c>
      <c r="H159" s="22">
        <v>819.41399999999999</v>
      </c>
      <c r="I159" s="22">
        <v>83.188999999999993</v>
      </c>
      <c r="J159" s="22">
        <v>83.188999999999993</v>
      </c>
      <c r="K159" s="225"/>
    </row>
    <row r="160" spans="1:11" ht="67.5" x14ac:dyDescent="0.2">
      <c r="A160" s="14" t="s">
        <v>157</v>
      </c>
      <c r="B160" s="12" t="s">
        <v>158</v>
      </c>
      <c r="C160" s="12"/>
      <c r="D160" s="12"/>
      <c r="E160" s="13">
        <v>985</v>
      </c>
      <c r="F160" s="13">
        <v>985</v>
      </c>
      <c r="G160" s="13">
        <v>209.85300000000001</v>
      </c>
      <c r="H160" s="13">
        <v>819.41399999999999</v>
      </c>
      <c r="I160" s="13">
        <v>83.188999999999993</v>
      </c>
      <c r="J160" s="13">
        <v>83.188999999999993</v>
      </c>
    </row>
    <row r="161" spans="1:12" ht="67.5" x14ac:dyDescent="0.2">
      <c r="A161" s="11" t="s">
        <v>159</v>
      </c>
      <c r="B161" s="12" t="s">
        <v>160</v>
      </c>
      <c r="C161" s="12"/>
      <c r="D161" s="12"/>
      <c r="E161" s="13">
        <v>985</v>
      </c>
      <c r="F161" s="13">
        <v>985</v>
      </c>
      <c r="G161" s="13">
        <v>209.85300000000001</v>
      </c>
      <c r="H161" s="13">
        <v>819.41399999999999</v>
      </c>
      <c r="I161" s="13">
        <v>83.188999999999993</v>
      </c>
      <c r="J161" s="13">
        <v>83.188999999999993</v>
      </c>
    </row>
    <row r="162" spans="1:12" ht="67.5" x14ac:dyDescent="0.2">
      <c r="A162" s="15" t="s">
        <v>159</v>
      </c>
      <c r="B162" s="16" t="s">
        <v>161</v>
      </c>
      <c r="C162" s="16" t="s">
        <v>23</v>
      </c>
      <c r="D162" s="16" t="s">
        <v>24</v>
      </c>
      <c r="E162" s="17">
        <v>985</v>
      </c>
      <c r="F162" s="17">
        <v>985</v>
      </c>
      <c r="G162" s="17">
        <v>209.85300000000001</v>
      </c>
      <c r="H162" s="17">
        <v>819.41399999999999</v>
      </c>
      <c r="I162" s="17">
        <v>83.188999999999993</v>
      </c>
      <c r="J162" s="17">
        <v>83.188999999999993</v>
      </c>
    </row>
    <row r="163" spans="1:12" ht="36.950000000000003" customHeight="1" x14ac:dyDescent="0.2">
      <c r="A163" s="25" t="s">
        <v>162</v>
      </c>
      <c r="B163" s="26" t="s">
        <v>163</v>
      </c>
      <c r="C163" s="26"/>
      <c r="D163" s="26"/>
      <c r="E163" s="19">
        <v>995.33</v>
      </c>
      <c r="F163" s="19">
        <v>995.33</v>
      </c>
      <c r="G163" s="223">
        <v>-2.609</v>
      </c>
      <c r="H163" s="19">
        <v>303.03800000000001</v>
      </c>
      <c r="I163" s="19">
        <v>30.446000000000002</v>
      </c>
      <c r="J163" s="19">
        <v>30.446000000000002</v>
      </c>
      <c r="K163" s="224"/>
      <c r="L163" s="20"/>
    </row>
    <row r="164" spans="1:12" ht="22.5" x14ac:dyDescent="0.2">
      <c r="A164" s="11" t="s">
        <v>164</v>
      </c>
      <c r="B164" s="12" t="s">
        <v>165</v>
      </c>
      <c r="C164" s="12"/>
      <c r="D164" s="12"/>
      <c r="E164" s="13">
        <v>995.33</v>
      </c>
      <c r="F164" s="13">
        <v>995.33</v>
      </c>
      <c r="G164" s="13">
        <v>-2.609</v>
      </c>
      <c r="H164" s="13">
        <v>303.03800000000001</v>
      </c>
      <c r="I164" s="13">
        <v>30.446000000000002</v>
      </c>
      <c r="J164" s="13">
        <v>30.446000000000002</v>
      </c>
    </row>
    <row r="165" spans="1:12" ht="22.5" x14ac:dyDescent="0.2">
      <c r="A165" s="11" t="s">
        <v>166</v>
      </c>
      <c r="B165" s="12" t="s">
        <v>167</v>
      </c>
      <c r="C165" s="12"/>
      <c r="D165" s="12"/>
      <c r="E165" s="13">
        <v>298.08</v>
      </c>
      <c r="F165" s="13">
        <v>298.08</v>
      </c>
      <c r="G165" s="13">
        <v>4.9000000000000002E-2</v>
      </c>
      <c r="H165" s="13">
        <v>175.75200000000001</v>
      </c>
      <c r="I165" s="13">
        <v>58.960999999999999</v>
      </c>
      <c r="J165" s="13">
        <v>58.960999999999999</v>
      </c>
    </row>
    <row r="166" spans="1:12" ht="22.5" x14ac:dyDescent="0.2">
      <c r="A166" s="15" t="s">
        <v>166</v>
      </c>
      <c r="B166" s="16" t="s">
        <v>168</v>
      </c>
      <c r="C166" s="16" t="s">
        <v>23</v>
      </c>
      <c r="D166" s="16" t="s">
        <v>24</v>
      </c>
      <c r="E166" s="17">
        <v>298.08</v>
      </c>
      <c r="F166" s="17">
        <v>298.08</v>
      </c>
      <c r="G166" s="17"/>
      <c r="H166" s="17"/>
      <c r="I166" s="17"/>
      <c r="J166" s="17"/>
    </row>
    <row r="167" spans="1:12" ht="33.75" x14ac:dyDescent="0.2">
      <c r="A167" s="11" t="s">
        <v>1065</v>
      </c>
      <c r="B167" s="12" t="s">
        <v>1066</v>
      </c>
      <c r="C167" s="12"/>
      <c r="D167" s="12"/>
      <c r="E167" s="13"/>
      <c r="F167" s="13"/>
      <c r="G167" s="13"/>
      <c r="H167" s="13">
        <v>0.04</v>
      </c>
      <c r="I167" s="13"/>
      <c r="J167" s="13"/>
    </row>
    <row r="168" spans="1:12" ht="33.75" x14ac:dyDescent="0.2">
      <c r="A168" s="15" t="s">
        <v>1065</v>
      </c>
      <c r="B168" s="16" t="s">
        <v>1067</v>
      </c>
      <c r="C168" s="16" t="s">
        <v>23</v>
      </c>
      <c r="D168" s="16" t="s">
        <v>24</v>
      </c>
      <c r="E168" s="17"/>
      <c r="F168" s="17"/>
      <c r="G168" s="17"/>
      <c r="H168" s="17">
        <v>0.04</v>
      </c>
      <c r="I168" s="17"/>
      <c r="J168" s="17"/>
    </row>
    <row r="169" spans="1:12" ht="56.25" x14ac:dyDescent="0.2">
      <c r="A169" s="11" t="s">
        <v>169</v>
      </c>
      <c r="B169" s="12" t="s">
        <v>170</v>
      </c>
      <c r="C169" s="12"/>
      <c r="D169" s="12"/>
      <c r="E169" s="13"/>
      <c r="F169" s="13"/>
      <c r="G169" s="13">
        <v>4.9000000000000002E-2</v>
      </c>
      <c r="H169" s="13">
        <v>175.71100000000001</v>
      </c>
      <c r="I169" s="13"/>
      <c r="J169" s="13"/>
    </row>
    <row r="170" spans="1:12" ht="56.25" x14ac:dyDescent="0.2">
      <c r="A170" s="15" t="s">
        <v>169</v>
      </c>
      <c r="B170" s="16" t="s">
        <v>171</v>
      </c>
      <c r="C170" s="16" t="s">
        <v>23</v>
      </c>
      <c r="D170" s="16" t="s">
        <v>24</v>
      </c>
      <c r="E170" s="17"/>
      <c r="F170" s="17"/>
      <c r="G170" s="17">
        <v>4.9000000000000002E-2</v>
      </c>
      <c r="H170" s="17">
        <v>175.71100000000001</v>
      </c>
      <c r="I170" s="17"/>
      <c r="J170" s="17"/>
    </row>
    <row r="171" spans="1:12" ht="22.5" x14ac:dyDescent="0.2">
      <c r="A171" s="11" t="s">
        <v>174</v>
      </c>
      <c r="B171" s="12" t="s">
        <v>175</v>
      </c>
      <c r="C171" s="12"/>
      <c r="D171" s="12"/>
      <c r="E171" s="13">
        <v>18.149999999999999</v>
      </c>
      <c r="F171" s="13">
        <v>18.149999999999999</v>
      </c>
      <c r="G171" s="13"/>
      <c r="H171" s="13">
        <v>8.23</v>
      </c>
      <c r="I171" s="13">
        <v>45.343000000000004</v>
      </c>
      <c r="J171" s="13">
        <v>45.343000000000004</v>
      </c>
    </row>
    <row r="172" spans="1:12" ht="22.5" x14ac:dyDescent="0.2">
      <c r="A172" s="15" t="s">
        <v>174</v>
      </c>
      <c r="B172" s="16" t="s">
        <v>176</v>
      </c>
      <c r="C172" s="16" t="s">
        <v>23</v>
      </c>
      <c r="D172" s="16" t="s">
        <v>24</v>
      </c>
      <c r="E172" s="17">
        <v>18.149999999999999</v>
      </c>
      <c r="F172" s="17">
        <v>18.149999999999999</v>
      </c>
      <c r="G172" s="17"/>
      <c r="H172" s="17"/>
      <c r="I172" s="17"/>
      <c r="J172" s="17"/>
    </row>
    <row r="173" spans="1:12" ht="45" x14ac:dyDescent="0.2">
      <c r="A173" s="11" t="s">
        <v>177</v>
      </c>
      <c r="B173" s="12" t="s">
        <v>178</v>
      </c>
      <c r="C173" s="12"/>
      <c r="D173" s="12"/>
      <c r="E173" s="13"/>
      <c r="F173" s="13"/>
      <c r="G173" s="13"/>
      <c r="H173" s="13">
        <v>8.23</v>
      </c>
      <c r="I173" s="13"/>
      <c r="J173" s="13"/>
    </row>
    <row r="174" spans="1:12" ht="45" x14ac:dyDescent="0.2">
      <c r="A174" s="15" t="s">
        <v>177</v>
      </c>
      <c r="B174" s="16" t="s">
        <v>179</v>
      </c>
      <c r="C174" s="16" t="s">
        <v>23</v>
      </c>
      <c r="D174" s="16" t="s">
        <v>24</v>
      </c>
      <c r="E174" s="17"/>
      <c r="F174" s="17"/>
      <c r="G174" s="17"/>
      <c r="H174" s="17">
        <v>8.23</v>
      </c>
      <c r="I174" s="17"/>
      <c r="J174" s="17"/>
    </row>
    <row r="175" spans="1:12" ht="22.5" x14ac:dyDescent="0.2">
      <c r="A175" s="11" t="s">
        <v>180</v>
      </c>
      <c r="B175" s="12" t="s">
        <v>181</v>
      </c>
      <c r="C175" s="12"/>
      <c r="D175" s="12"/>
      <c r="E175" s="13">
        <v>679.1</v>
      </c>
      <c r="F175" s="13">
        <v>679.1</v>
      </c>
      <c r="G175" s="13">
        <v>-2.6579999999999999</v>
      </c>
      <c r="H175" s="13">
        <v>119.057</v>
      </c>
      <c r="I175" s="13">
        <v>17.532</v>
      </c>
      <c r="J175" s="13">
        <v>17.532</v>
      </c>
    </row>
    <row r="176" spans="1:12" ht="22.5" x14ac:dyDescent="0.2">
      <c r="A176" s="15" t="s">
        <v>180</v>
      </c>
      <c r="B176" s="16" t="s">
        <v>182</v>
      </c>
      <c r="C176" s="16" t="s">
        <v>23</v>
      </c>
      <c r="D176" s="16" t="s">
        <v>24</v>
      </c>
      <c r="E176" s="17">
        <v>679.1</v>
      </c>
      <c r="F176" s="17">
        <v>679.1</v>
      </c>
      <c r="G176" s="17"/>
      <c r="H176" s="17"/>
      <c r="I176" s="17"/>
      <c r="J176" s="17"/>
    </row>
    <row r="177" spans="1:12" x14ac:dyDescent="0.2">
      <c r="A177" s="11" t="s">
        <v>581</v>
      </c>
      <c r="B177" s="12" t="s">
        <v>582</v>
      </c>
      <c r="C177" s="12"/>
      <c r="D177" s="12"/>
      <c r="E177" s="13"/>
      <c r="F177" s="13"/>
      <c r="G177" s="13">
        <v>-2.6579999999999999</v>
      </c>
      <c r="H177" s="13">
        <v>117.34</v>
      </c>
      <c r="I177" s="13"/>
      <c r="J177" s="13"/>
    </row>
    <row r="178" spans="1:12" ht="22.5" x14ac:dyDescent="0.2">
      <c r="A178" s="11" t="s">
        <v>685</v>
      </c>
      <c r="B178" s="12" t="s">
        <v>686</v>
      </c>
      <c r="C178" s="12"/>
      <c r="D178" s="12"/>
      <c r="E178" s="13"/>
      <c r="F178" s="13"/>
      <c r="G178" s="13"/>
      <c r="H178" s="13">
        <v>4.0000000000000001E-3</v>
      </c>
      <c r="I178" s="13"/>
      <c r="J178" s="13"/>
    </row>
    <row r="179" spans="1:12" ht="22.5" x14ac:dyDescent="0.2">
      <c r="A179" s="15" t="s">
        <v>685</v>
      </c>
      <c r="B179" s="16" t="s">
        <v>687</v>
      </c>
      <c r="C179" s="16" t="s">
        <v>23</v>
      </c>
      <c r="D179" s="16" t="s">
        <v>24</v>
      </c>
      <c r="E179" s="17"/>
      <c r="F179" s="17"/>
      <c r="G179" s="17"/>
      <c r="H179" s="17">
        <v>4.0000000000000001E-3</v>
      </c>
      <c r="I179" s="17"/>
      <c r="J179" s="17"/>
    </row>
    <row r="180" spans="1:12" ht="45" x14ac:dyDescent="0.2">
      <c r="A180" s="11" t="s">
        <v>583</v>
      </c>
      <c r="B180" s="12" t="s">
        <v>584</v>
      </c>
      <c r="C180" s="12"/>
      <c r="D180" s="12"/>
      <c r="E180" s="13"/>
      <c r="F180" s="13"/>
      <c r="G180" s="13">
        <v>-2.6579999999999999</v>
      </c>
      <c r="H180" s="13">
        <v>117.337</v>
      </c>
      <c r="I180" s="13"/>
      <c r="J180" s="13"/>
    </row>
    <row r="181" spans="1:12" ht="45" x14ac:dyDescent="0.2">
      <c r="A181" s="15" t="s">
        <v>583</v>
      </c>
      <c r="B181" s="16" t="s">
        <v>585</v>
      </c>
      <c r="C181" s="16" t="s">
        <v>23</v>
      </c>
      <c r="D181" s="16" t="s">
        <v>24</v>
      </c>
      <c r="E181" s="17"/>
      <c r="F181" s="17"/>
      <c r="G181" s="17">
        <v>-2.6579999999999999</v>
      </c>
      <c r="H181" s="17">
        <v>117.337</v>
      </c>
      <c r="I181" s="17"/>
      <c r="J181" s="17"/>
    </row>
    <row r="182" spans="1:12" ht="22.5" x14ac:dyDescent="0.2">
      <c r="A182" s="11" t="s">
        <v>586</v>
      </c>
      <c r="B182" s="12" t="s">
        <v>587</v>
      </c>
      <c r="C182" s="12"/>
      <c r="D182" s="12"/>
      <c r="E182" s="13"/>
      <c r="F182" s="13"/>
      <c r="G182" s="13"/>
      <c r="H182" s="13">
        <v>1.7170000000000001</v>
      </c>
      <c r="I182" s="13"/>
      <c r="J182" s="13"/>
    </row>
    <row r="183" spans="1:12" ht="45" x14ac:dyDescent="0.2">
      <c r="A183" s="11" t="s">
        <v>588</v>
      </c>
      <c r="B183" s="12" t="s">
        <v>589</v>
      </c>
      <c r="C183" s="12"/>
      <c r="D183" s="12"/>
      <c r="E183" s="13"/>
      <c r="F183" s="13"/>
      <c r="G183" s="13"/>
      <c r="H183" s="13">
        <v>1.7170000000000001</v>
      </c>
      <c r="I183" s="13"/>
      <c r="J183" s="13"/>
    </row>
    <row r="184" spans="1:12" ht="45" x14ac:dyDescent="0.2">
      <c r="A184" s="15" t="s">
        <v>588</v>
      </c>
      <c r="B184" s="16" t="s">
        <v>590</v>
      </c>
      <c r="C184" s="16" t="s">
        <v>23</v>
      </c>
      <c r="D184" s="16" t="s">
        <v>24</v>
      </c>
      <c r="E184" s="17"/>
      <c r="F184" s="17"/>
      <c r="G184" s="17"/>
      <c r="H184" s="17">
        <v>1.7170000000000001</v>
      </c>
      <c r="I184" s="17"/>
      <c r="J184" s="17"/>
    </row>
    <row r="185" spans="1:12" ht="36.950000000000003" customHeight="1" x14ac:dyDescent="0.2">
      <c r="A185" s="25" t="s">
        <v>737</v>
      </c>
      <c r="B185" s="26" t="s">
        <v>183</v>
      </c>
      <c r="C185" s="26"/>
      <c r="D185" s="26"/>
      <c r="E185" s="19">
        <v>64773.1</v>
      </c>
      <c r="F185" s="19">
        <v>52250.080000000002</v>
      </c>
      <c r="G185" s="223">
        <v>2772.6030000000001</v>
      </c>
      <c r="H185" s="19">
        <v>26997.195</v>
      </c>
      <c r="I185" s="19">
        <v>41.68</v>
      </c>
      <c r="J185" s="19">
        <v>51.668999999999997</v>
      </c>
      <c r="K185" s="224"/>
      <c r="L185" s="20"/>
    </row>
    <row r="186" spans="1:12" x14ac:dyDescent="0.2">
      <c r="A186" s="11" t="s">
        <v>184</v>
      </c>
      <c r="B186" s="12" t="s">
        <v>185</v>
      </c>
      <c r="C186" s="12"/>
      <c r="D186" s="12"/>
      <c r="E186" s="13">
        <v>64773.1</v>
      </c>
      <c r="F186" s="13">
        <v>48178.6</v>
      </c>
      <c r="G186" s="13">
        <v>2592.9580000000001</v>
      </c>
      <c r="H186" s="13">
        <v>22021.702000000001</v>
      </c>
      <c r="I186" s="13">
        <v>33.997999999999998</v>
      </c>
      <c r="J186" s="13">
        <v>45.709000000000003</v>
      </c>
    </row>
    <row r="187" spans="1:12" x14ac:dyDescent="0.2">
      <c r="A187" s="11" t="s">
        <v>186</v>
      </c>
      <c r="B187" s="12" t="s">
        <v>187</v>
      </c>
      <c r="C187" s="12"/>
      <c r="D187" s="12"/>
      <c r="E187" s="13">
        <v>64773.1</v>
      </c>
      <c r="F187" s="13">
        <v>48178.6</v>
      </c>
      <c r="G187" s="13">
        <v>2592.9580000000001</v>
      </c>
      <c r="H187" s="13">
        <v>22021.702000000001</v>
      </c>
      <c r="I187" s="13">
        <v>33.997999999999998</v>
      </c>
      <c r="J187" s="13">
        <v>45.709000000000003</v>
      </c>
    </row>
    <row r="188" spans="1:12" ht="33.75" x14ac:dyDescent="0.2">
      <c r="A188" s="11" t="s">
        <v>188</v>
      </c>
      <c r="B188" s="12" t="s">
        <v>189</v>
      </c>
      <c r="C188" s="12"/>
      <c r="D188" s="12"/>
      <c r="E188" s="13">
        <v>64773.1</v>
      </c>
      <c r="F188" s="13">
        <v>48178.6</v>
      </c>
      <c r="G188" s="13">
        <v>2592.9580000000001</v>
      </c>
      <c r="H188" s="13">
        <v>22021.702000000001</v>
      </c>
      <c r="I188" s="13">
        <v>33.997999999999998</v>
      </c>
      <c r="J188" s="13">
        <v>45.709000000000003</v>
      </c>
    </row>
    <row r="189" spans="1:12" ht="33.75" x14ac:dyDescent="0.2">
      <c r="A189" s="15" t="s">
        <v>188</v>
      </c>
      <c r="B189" s="16" t="s">
        <v>190</v>
      </c>
      <c r="C189" s="16" t="s">
        <v>23</v>
      </c>
      <c r="D189" s="16" t="s">
        <v>24</v>
      </c>
      <c r="E189" s="17">
        <v>113</v>
      </c>
      <c r="F189" s="17">
        <v>69</v>
      </c>
      <c r="G189" s="17">
        <v>2.266</v>
      </c>
      <c r="H189" s="17">
        <v>36.433999999999997</v>
      </c>
      <c r="I189" s="17">
        <v>32.243000000000002</v>
      </c>
      <c r="J189" s="17">
        <v>52.802999999999997</v>
      </c>
    </row>
    <row r="190" spans="1:12" ht="45" x14ac:dyDescent="0.2">
      <c r="A190" s="11" t="s">
        <v>191</v>
      </c>
      <c r="B190" s="12" t="s">
        <v>192</v>
      </c>
      <c r="C190" s="12"/>
      <c r="D190" s="12"/>
      <c r="E190" s="13">
        <v>64660.1</v>
      </c>
      <c r="F190" s="13">
        <v>48109.599999999999</v>
      </c>
      <c r="G190" s="13">
        <v>2590.692</v>
      </c>
      <c r="H190" s="13">
        <v>21985.268</v>
      </c>
      <c r="I190" s="13">
        <v>34.000999999999998</v>
      </c>
      <c r="J190" s="13">
        <v>45.698</v>
      </c>
    </row>
    <row r="191" spans="1:12" ht="45" x14ac:dyDescent="0.2">
      <c r="A191" s="15" t="s">
        <v>191</v>
      </c>
      <c r="B191" s="16" t="s">
        <v>193</v>
      </c>
      <c r="C191" s="16" t="s">
        <v>23</v>
      </c>
      <c r="D191" s="16" t="s">
        <v>24</v>
      </c>
      <c r="E191" s="17">
        <v>64660.1</v>
      </c>
      <c r="F191" s="17">
        <v>48109.599999999999</v>
      </c>
      <c r="G191" s="17">
        <v>2590.692</v>
      </c>
      <c r="H191" s="17">
        <v>21985.268</v>
      </c>
      <c r="I191" s="17">
        <v>34.000999999999998</v>
      </c>
      <c r="J191" s="17">
        <v>45.698</v>
      </c>
    </row>
    <row r="192" spans="1:12" x14ac:dyDescent="0.2">
      <c r="A192" s="11" t="s">
        <v>197</v>
      </c>
      <c r="B192" s="12" t="s">
        <v>198</v>
      </c>
      <c r="C192" s="12"/>
      <c r="D192" s="12"/>
      <c r="E192" s="13"/>
      <c r="F192" s="13">
        <v>4071.48</v>
      </c>
      <c r="G192" s="13">
        <v>179.64400000000001</v>
      </c>
      <c r="H192" s="13">
        <v>4975.4920000000002</v>
      </c>
      <c r="I192" s="13"/>
      <c r="J192" s="13">
        <v>122.20399999999999</v>
      </c>
    </row>
    <row r="193" spans="1:12" x14ac:dyDescent="0.2">
      <c r="A193" s="11" t="s">
        <v>199</v>
      </c>
      <c r="B193" s="12" t="s">
        <v>200</v>
      </c>
      <c r="C193" s="12"/>
      <c r="D193" s="12"/>
      <c r="E193" s="13"/>
      <c r="F193" s="13">
        <v>4071.48</v>
      </c>
      <c r="G193" s="13">
        <v>179.64400000000001</v>
      </c>
      <c r="H193" s="13">
        <v>4975.4920000000002</v>
      </c>
      <c r="I193" s="13"/>
      <c r="J193" s="13">
        <v>122.20399999999999</v>
      </c>
    </row>
    <row r="194" spans="1:12" ht="22.5" x14ac:dyDescent="0.2">
      <c r="A194" s="11" t="s">
        <v>201</v>
      </c>
      <c r="B194" s="12" t="s">
        <v>202</v>
      </c>
      <c r="C194" s="12"/>
      <c r="D194" s="12"/>
      <c r="E194" s="13"/>
      <c r="F194" s="13">
        <v>4071.48</v>
      </c>
      <c r="G194" s="13">
        <v>179.64400000000001</v>
      </c>
      <c r="H194" s="13">
        <v>4975.4920000000002</v>
      </c>
      <c r="I194" s="13"/>
      <c r="J194" s="13">
        <v>122.20399999999999</v>
      </c>
    </row>
    <row r="195" spans="1:12" ht="22.5" x14ac:dyDescent="0.2">
      <c r="A195" s="15" t="s">
        <v>201</v>
      </c>
      <c r="B195" s="16" t="s">
        <v>1068</v>
      </c>
      <c r="C195" s="16" t="s">
        <v>23</v>
      </c>
      <c r="D195" s="16" t="s">
        <v>24</v>
      </c>
      <c r="E195" s="17"/>
      <c r="F195" s="17">
        <v>1014.901</v>
      </c>
      <c r="G195" s="17"/>
      <c r="H195" s="17">
        <v>1014.901</v>
      </c>
      <c r="I195" s="17"/>
      <c r="J195" s="17">
        <v>100</v>
      </c>
    </row>
    <row r="196" spans="1:12" ht="33.75" x14ac:dyDescent="0.2">
      <c r="A196" s="11" t="s">
        <v>203</v>
      </c>
      <c r="B196" s="12" t="s">
        <v>204</v>
      </c>
      <c r="C196" s="12"/>
      <c r="D196" s="12"/>
      <c r="E196" s="13"/>
      <c r="F196" s="13">
        <v>3056.5790000000002</v>
      </c>
      <c r="G196" s="13">
        <v>179.64400000000001</v>
      </c>
      <c r="H196" s="13">
        <v>3960.5909999999999</v>
      </c>
      <c r="I196" s="13"/>
      <c r="J196" s="13">
        <v>129.57599999999999</v>
      </c>
    </row>
    <row r="197" spans="1:12" ht="33.75" x14ac:dyDescent="0.2">
      <c r="A197" s="15" t="s">
        <v>203</v>
      </c>
      <c r="B197" s="16" t="s">
        <v>469</v>
      </c>
      <c r="C197" s="16" t="s">
        <v>23</v>
      </c>
      <c r="D197" s="16" t="s">
        <v>24</v>
      </c>
      <c r="E197" s="17"/>
      <c r="F197" s="17">
        <v>54.158000000000001</v>
      </c>
      <c r="G197" s="17">
        <v>7.18</v>
      </c>
      <c r="H197" s="17">
        <v>68.518000000000001</v>
      </c>
      <c r="I197" s="17"/>
      <c r="J197" s="17">
        <v>126.515</v>
      </c>
    </row>
    <row r="198" spans="1:12" ht="33.75" x14ac:dyDescent="0.2">
      <c r="A198" s="15" t="s">
        <v>203</v>
      </c>
      <c r="B198" s="16" t="s">
        <v>205</v>
      </c>
      <c r="C198" s="16" t="s">
        <v>23</v>
      </c>
      <c r="D198" s="16" t="s">
        <v>24</v>
      </c>
      <c r="E198" s="17"/>
      <c r="F198" s="17">
        <v>2451.3159999999998</v>
      </c>
      <c r="G198" s="17">
        <v>172.464</v>
      </c>
      <c r="H198" s="17">
        <v>3287.3620000000001</v>
      </c>
      <c r="I198" s="17"/>
      <c r="J198" s="17">
        <v>134.10599999999999</v>
      </c>
    </row>
    <row r="199" spans="1:12" ht="33.75" x14ac:dyDescent="0.2">
      <c r="A199" s="15" t="s">
        <v>203</v>
      </c>
      <c r="B199" s="16" t="s">
        <v>591</v>
      </c>
      <c r="C199" s="16" t="s">
        <v>23</v>
      </c>
      <c r="D199" s="16" t="s">
        <v>24</v>
      </c>
      <c r="E199" s="17"/>
      <c r="F199" s="17">
        <v>221.441</v>
      </c>
      <c r="G199" s="17"/>
      <c r="H199" s="17">
        <v>221.441</v>
      </c>
      <c r="I199" s="17"/>
      <c r="J199" s="17">
        <v>100</v>
      </c>
    </row>
    <row r="200" spans="1:12" ht="33.75" x14ac:dyDescent="0.2">
      <c r="A200" s="15" t="s">
        <v>203</v>
      </c>
      <c r="B200" s="16" t="s">
        <v>688</v>
      </c>
      <c r="C200" s="16" t="s">
        <v>23</v>
      </c>
      <c r="D200" s="16" t="s">
        <v>24</v>
      </c>
      <c r="E200" s="17"/>
      <c r="F200" s="17">
        <v>151.72900000000001</v>
      </c>
      <c r="G200" s="17"/>
      <c r="H200" s="17">
        <v>151.72900000000001</v>
      </c>
      <c r="I200" s="17"/>
      <c r="J200" s="17">
        <v>100</v>
      </c>
    </row>
    <row r="201" spans="1:12" ht="33.75" x14ac:dyDescent="0.2">
      <c r="A201" s="15" t="s">
        <v>203</v>
      </c>
      <c r="B201" s="16" t="s">
        <v>592</v>
      </c>
      <c r="C201" s="16" t="s">
        <v>23</v>
      </c>
      <c r="D201" s="16" t="s">
        <v>24</v>
      </c>
      <c r="E201" s="17"/>
      <c r="F201" s="17">
        <v>177.935</v>
      </c>
      <c r="G201" s="17"/>
      <c r="H201" s="17">
        <v>231.542</v>
      </c>
      <c r="I201" s="17"/>
      <c r="J201" s="17">
        <v>130.12799999999999</v>
      </c>
    </row>
    <row r="202" spans="1:12" ht="36.950000000000003" customHeight="1" x14ac:dyDescent="0.2">
      <c r="A202" s="25" t="s">
        <v>206</v>
      </c>
      <c r="B202" s="26" t="s">
        <v>207</v>
      </c>
      <c r="C202" s="26"/>
      <c r="D202" s="26"/>
      <c r="E202" s="19">
        <v>802.2</v>
      </c>
      <c r="F202" s="19">
        <v>3924.8139999999999</v>
      </c>
      <c r="G202" s="223">
        <v>45.616</v>
      </c>
      <c r="H202" s="19">
        <v>3805.5810000000001</v>
      </c>
      <c r="I202" s="19">
        <v>474.39299999999997</v>
      </c>
      <c r="J202" s="19">
        <v>96.962000000000003</v>
      </c>
      <c r="K202" s="224"/>
      <c r="L202" s="20"/>
    </row>
    <row r="203" spans="1:12" s="212" customFormat="1" ht="67.5" x14ac:dyDescent="0.2">
      <c r="A203" s="30" t="s">
        <v>470</v>
      </c>
      <c r="B203" s="29" t="s">
        <v>471</v>
      </c>
      <c r="C203" s="29"/>
      <c r="D203" s="29"/>
      <c r="E203" s="22"/>
      <c r="F203" s="22">
        <v>2493.8000000000002</v>
      </c>
      <c r="G203" s="22"/>
      <c r="H203" s="22">
        <v>2521.558</v>
      </c>
      <c r="I203" s="22"/>
      <c r="J203" s="22">
        <v>101.113</v>
      </c>
    </row>
    <row r="204" spans="1:12" ht="90" x14ac:dyDescent="0.2">
      <c r="A204" s="14" t="s">
        <v>422</v>
      </c>
      <c r="B204" s="12" t="s">
        <v>472</v>
      </c>
      <c r="C204" s="12"/>
      <c r="D204" s="12"/>
      <c r="E204" s="13"/>
      <c r="F204" s="13">
        <v>2493.8000000000002</v>
      </c>
      <c r="G204" s="13"/>
      <c r="H204" s="13">
        <v>2521.558</v>
      </c>
      <c r="I204" s="13"/>
      <c r="J204" s="13">
        <v>101.113</v>
      </c>
    </row>
    <row r="205" spans="1:12" ht="90" x14ac:dyDescent="0.2">
      <c r="A205" s="14" t="s">
        <v>423</v>
      </c>
      <c r="B205" s="12" t="s">
        <v>424</v>
      </c>
      <c r="C205" s="12"/>
      <c r="D205" s="12"/>
      <c r="E205" s="13"/>
      <c r="F205" s="13">
        <v>2493.8000000000002</v>
      </c>
      <c r="G205" s="13"/>
      <c r="H205" s="13">
        <v>2521.558</v>
      </c>
      <c r="I205" s="13"/>
      <c r="J205" s="13">
        <v>101.113</v>
      </c>
    </row>
    <row r="206" spans="1:12" ht="78.75" x14ac:dyDescent="0.2">
      <c r="A206" s="18" t="s">
        <v>423</v>
      </c>
      <c r="B206" s="16" t="s">
        <v>425</v>
      </c>
      <c r="C206" s="16" t="s">
        <v>23</v>
      </c>
      <c r="D206" s="16" t="s">
        <v>24</v>
      </c>
      <c r="E206" s="17"/>
      <c r="F206" s="17">
        <v>2493.8000000000002</v>
      </c>
      <c r="G206" s="17"/>
      <c r="H206" s="17">
        <v>2521.558</v>
      </c>
      <c r="I206" s="17"/>
      <c r="J206" s="17">
        <v>101.113</v>
      </c>
    </row>
    <row r="207" spans="1:12" s="212" customFormat="1" ht="41.45" customHeight="1" x14ac:dyDescent="0.2">
      <c r="A207" s="30" t="s">
        <v>208</v>
      </c>
      <c r="B207" s="29" t="s">
        <v>209</v>
      </c>
      <c r="C207" s="29"/>
      <c r="D207" s="29"/>
      <c r="E207" s="22">
        <v>802.2</v>
      </c>
      <c r="F207" s="22">
        <v>1394.943</v>
      </c>
      <c r="G207" s="22">
        <v>45.616</v>
      </c>
      <c r="H207" s="22">
        <v>1247.952</v>
      </c>
      <c r="I207" s="22">
        <v>155.566</v>
      </c>
      <c r="J207" s="22">
        <v>89.462999999999994</v>
      </c>
    </row>
    <row r="208" spans="1:12" ht="33.75" x14ac:dyDescent="0.2">
      <c r="A208" s="11" t="s">
        <v>210</v>
      </c>
      <c r="B208" s="12" t="s">
        <v>211</v>
      </c>
      <c r="C208" s="12"/>
      <c r="D208" s="12"/>
      <c r="E208" s="13">
        <v>802.2</v>
      </c>
      <c r="F208" s="13">
        <v>1394.943</v>
      </c>
      <c r="G208" s="13">
        <v>45.616</v>
      </c>
      <c r="H208" s="13">
        <v>1247.952</v>
      </c>
      <c r="I208" s="13">
        <v>155.566</v>
      </c>
      <c r="J208" s="13">
        <v>89.462999999999994</v>
      </c>
    </row>
    <row r="209" spans="1:12" ht="56.25" x14ac:dyDescent="0.2">
      <c r="A209" s="11" t="s">
        <v>593</v>
      </c>
      <c r="B209" s="12" t="s">
        <v>426</v>
      </c>
      <c r="C209" s="12"/>
      <c r="D209" s="12"/>
      <c r="E209" s="13">
        <v>300</v>
      </c>
      <c r="F209" s="13">
        <v>300</v>
      </c>
      <c r="G209" s="13"/>
      <c r="H209" s="13">
        <v>208.35300000000001</v>
      </c>
      <c r="I209" s="13">
        <v>69.450999999999993</v>
      </c>
      <c r="J209" s="13">
        <v>69.450999999999993</v>
      </c>
    </row>
    <row r="210" spans="1:12" ht="56.25" x14ac:dyDescent="0.2">
      <c r="A210" s="15" t="s">
        <v>593</v>
      </c>
      <c r="B210" s="16" t="s">
        <v>427</v>
      </c>
      <c r="C210" s="16" t="s">
        <v>23</v>
      </c>
      <c r="D210" s="16" t="s">
        <v>24</v>
      </c>
      <c r="E210" s="17">
        <v>300</v>
      </c>
      <c r="F210" s="17">
        <v>300</v>
      </c>
      <c r="G210" s="17"/>
      <c r="H210" s="17">
        <v>208.35300000000001</v>
      </c>
      <c r="I210" s="17">
        <v>69.450999999999993</v>
      </c>
      <c r="J210" s="17">
        <v>69.450999999999993</v>
      </c>
    </row>
    <row r="211" spans="1:12" ht="45" x14ac:dyDescent="0.2">
      <c r="A211" s="11" t="s">
        <v>212</v>
      </c>
      <c r="B211" s="12" t="s">
        <v>213</v>
      </c>
      <c r="C211" s="12"/>
      <c r="D211" s="12"/>
      <c r="E211" s="13">
        <v>502.2</v>
      </c>
      <c r="F211" s="13">
        <v>1094.943</v>
      </c>
      <c r="G211" s="13">
        <v>45.616</v>
      </c>
      <c r="H211" s="13">
        <v>1039.5989999999999</v>
      </c>
      <c r="I211" s="13">
        <v>207.00899999999999</v>
      </c>
      <c r="J211" s="13">
        <v>94.945999999999998</v>
      </c>
    </row>
    <row r="212" spans="1:12" ht="45" x14ac:dyDescent="0.2">
      <c r="A212" s="15" t="s">
        <v>212</v>
      </c>
      <c r="B212" s="16" t="s">
        <v>214</v>
      </c>
      <c r="C212" s="16" t="s">
        <v>23</v>
      </c>
      <c r="D212" s="16" t="s">
        <v>24</v>
      </c>
      <c r="E212" s="17">
        <v>302.2</v>
      </c>
      <c r="F212" s="17">
        <v>294.94299999999998</v>
      </c>
      <c r="G212" s="17">
        <v>31.74</v>
      </c>
      <c r="H212" s="17">
        <v>185.21600000000001</v>
      </c>
      <c r="I212" s="17">
        <v>61.289000000000001</v>
      </c>
      <c r="J212" s="17">
        <v>62.796999999999997</v>
      </c>
    </row>
    <row r="213" spans="1:12" ht="45" x14ac:dyDescent="0.2">
      <c r="A213" s="15" t="s">
        <v>212</v>
      </c>
      <c r="B213" s="16" t="s">
        <v>215</v>
      </c>
      <c r="C213" s="16" t="s">
        <v>23</v>
      </c>
      <c r="D213" s="16" t="s">
        <v>24</v>
      </c>
      <c r="E213" s="17">
        <v>200</v>
      </c>
      <c r="F213" s="17">
        <v>800</v>
      </c>
      <c r="G213" s="17">
        <v>13.875999999999999</v>
      </c>
      <c r="H213" s="17">
        <v>854.38300000000004</v>
      </c>
      <c r="I213" s="17">
        <v>427.19200000000001</v>
      </c>
      <c r="J213" s="17">
        <v>106.798</v>
      </c>
    </row>
    <row r="214" spans="1:12" s="212" customFormat="1" ht="65.849999999999994" customHeight="1" x14ac:dyDescent="0.2">
      <c r="A214" s="30" t="s">
        <v>473</v>
      </c>
      <c r="B214" s="29" t="s">
        <v>474</v>
      </c>
      <c r="C214" s="29"/>
      <c r="D214" s="29"/>
      <c r="E214" s="22"/>
      <c r="F214" s="22">
        <v>36.070999999999998</v>
      </c>
      <c r="G214" s="22"/>
      <c r="H214" s="22">
        <v>36.070999999999998</v>
      </c>
      <c r="I214" s="22"/>
      <c r="J214" s="22">
        <v>100.001</v>
      </c>
    </row>
    <row r="215" spans="1:12" ht="56.25" x14ac:dyDescent="0.2">
      <c r="A215" s="11" t="s">
        <v>475</v>
      </c>
      <c r="B215" s="12" t="s">
        <v>476</v>
      </c>
      <c r="C215" s="12"/>
      <c r="D215" s="12"/>
      <c r="E215" s="13"/>
      <c r="F215" s="13">
        <v>36.070999999999998</v>
      </c>
      <c r="G215" s="13"/>
      <c r="H215" s="13">
        <v>36.070999999999998</v>
      </c>
      <c r="I215" s="13"/>
      <c r="J215" s="13">
        <v>100.001</v>
      </c>
    </row>
    <row r="216" spans="1:12" ht="90" x14ac:dyDescent="0.2">
      <c r="A216" s="14" t="s">
        <v>879</v>
      </c>
      <c r="B216" s="12" t="s">
        <v>1035</v>
      </c>
      <c r="C216" s="12"/>
      <c r="D216" s="12"/>
      <c r="E216" s="13"/>
      <c r="F216" s="13">
        <v>3.907</v>
      </c>
      <c r="G216" s="13"/>
      <c r="H216" s="13">
        <v>3.907</v>
      </c>
      <c r="I216" s="13"/>
      <c r="J216" s="13">
        <v>100.01</v>
      </c>
    </row>
    <row r="217" spans="1:12" ht="78.75" x14ac:dyDescent="0.2">
      <c r="A217" s="18" t="s">
        <v>879</v>
      </c>
      <c r="B217" s="16" t="s">
        <v>1036</v>
      </c>
      <c r="C217" s="16" t="s">
        <v>23</v>
      </c>
      <c r="D217" s="16" t="s">
        <v>24</v>
      </c>
      <c r="E217" s="17"/>
      <c r="F217" s="17">
        <v>3.907</v>
      </c>
      <c r="G217" s="17"/>
      <c r="H217" s="17">
        <v>3.907</v>
      </c>
      <c r="I217" s="17"/>
      <c r="J217" s="17">
        <v>100.01</v>
      </c>
    </row>
    <row r="218" spans="1:12" ht="78.75" x14ac:dyDescent="0.2">
      <c r="A218" s="14" t="s">
        <v>477</v>
      </c>
      <c r="B218" s="12" t="s">
        <v>478</v>
      </c>
      <c r="C218" s="12"/>
      <c r="D218" s="12"/>
      <c r="E218" s="13"/>
      <c r="F218" s="13">
        <v>32.164000000000001</v>
      </c>
      <c r="G218" s="13"/>
      <c r="H218" s="13">
        <v>32.164000000000001</v>
      </c>
      <c r="I218" s="13"/>
      <c r="J218" s="13">
        <v>100</v>
      </c>
    </row>
    <row r="219" spans="1:12" ht="67.5" x14ac:dyDescent="0.2">
      <c r="A219" s="18" t="s">
        <v>477</v>
      </c>
      <c r="B219" s="16" t="s">
        <v>479</v>
      </c>
      <c r="C219" s="16" t="s">
        <v>23</v>
      </c>
      <c r="D219" s="16" t="s">
        <v>24</v>
      </c>
      <c r="E219" s="17"/>
      <c r="F219" s="17">
        <v>32.164000000000001</v>
      </c>
      <c r="G219" s="17"/>
      <c r="H219" s="17">
        <v>32.164000000000001</v>
      </c>
      <c r="I219" s="17"/>
      <c r="J219" s="17">
        <v>100</v>
      </c>
    </row>
    <row r="220" spans="1:12" ht="36.950000000000003" customHeight="1" x14ac:dyDescent="0.2">
      <c r="A220" s="25" t="s">
        <v>216</v>
      </c>
      <c r="B220" s="26" t="s">
        <v>217</v>
      </c>
      <c r="C220" s="26"/>
      <c r="D220" s="26"/>
      <c r="E220" s="19">
        <v>112.5</v>
      </c>
      <c r="F220" s="19">
        <v>4467.5</v>
      </c>
      <c r="G220" s="223">
        <v>789.20799999999997</v>
      </c>
      <c r="H220" s="19">
        <v>4822.6289999999999</v>
      </c>
      <c r="I220" s="19">
        <v>4286.7809999999999</v>
      </c>
      <c r="J220" s="19">
        <v>107.949</v>
      </c>
      <c r="K220" s="224"/>
      <c r="L220" s="20"/>
    </row>
    <row r="221" spans="1:12" ht="33.75" x14ac:dyDescent="0.2">
      <c r="A221" s="11" t="s">
        <v>1069</v>
      </c>
      <c r="B221" s="12" t="s">
        <v>1070</v>
      </c>
      <c r="C221" s="12"/>
      <c r="D221" s="12"/>
      <c r="E221" s="13">
        <v>112.5</v>
      </c>
      <c r="F221" s="13">
        <v>784.68899999999996</v>
      </c>
      <c r="G221" s="13">
        <v>170.239</v>
      </c>
      <c r="H221" s="13">
        <v>747.72799999999995</v>
      </c>
      <c r="I221" s="13">
        <v>664.64800000000002</v>
      </c>
      <c r="J221" s="13">
        <v>95.29</v>
      </c>
    </row>
    <row r="222" spans="1:12" ht="56.25" x14ac:dyDescent="0.2">
      <c r="A222" s="11" t="s">
        <v>915</v>
      </c>
      <c r="B222" s="12" t="s">
        <v>1071</v>
      </c>
      <c r="C222" s="12"/>
      <c r="D222" s="12"/>
      <c r="E222" s="13">
        <v>71</v>
      </c>
      <c r="F222" s="13">
        <v>8.7279999999999998</v>
      </c>
      <c r="G222" s="13">
        <v>45.2</v>
      </c>
      <c r="H222" s="13">
        <v>50.65</v>
      </c>
      <c r="I222" s="13">
        <v>71.337999999999994</v>
      </c>
      <c r="J222" s="13">
        <v>580.31600000000003</v>
      </c>
    </row>
    <row r="223" spans="1:12" ht="78.75" x14ac:dyDescent="0.2">
      <c r="A223" s="14" t="s">
        <v>916</v>
      </c>
      <c r="B223" s="12" t="s">
        <v>1072</v>
      </c>
      <c r="C223" s="12"/>
      <c r="D223" s="12"/>
      <c r="E223" s="13">
        <v>71</v>
      </c>
      <c r="F223" s="13">
        <v>8.7279999999999998</v>
      </c>
      <c r="G223" s="13">
        <v>45.2</v>
      </c>
      <c r="H223" s="13">
        <v>50.65</v>
      </c>
      <c r="I223" s="13">
        <v>71.337999999999994</v>
      </c>
      <c r="J223" s="13">
        <v>580.31600000000003</v>
      </c>
    </row>
    <row r="224" spans="1:12" ht="67.5" x14ac:dyDescent="0.2">
      <c r="A224" s="18" t="s">
        <v>916</v>
      </c>
      <c r="B224" s="16" t="s">
        <v>1073</v>
      </c>
      <c r="C224" s="16" t="s">
        <v>23</v>
      </c>
      <c r="D224" s="16" t="s">
        <v>24</v>
      </c>
      <c r="E224" s="17">
        <v>71</v>
      </c>
      <c r="F224" s="17"/>
      <c r="G224" s="17"/>
      <c r="H224" s="17"/>
      <c r="I224" s="17"/>
      <c r="J224" s="17"/>
    </row>
    <row r="225" spans="1:10" ht="123.75" x14ac:dyDescent="0.2">
      <c r="A225" s="14" t="s">
        <v>918</v>
      </c>
      <c r="B225" s="12" t="s">
        <v>1074</v>
      </c>
      <c r="C225" s="12"/>
      <c r="D225" s="12"/>
      <c r="E225" s="13"/>
      <c r="F225" s="13">
        <v>2.2280000000000002</v>
      </c>
      <c r="G225" s="13">
        <v>0.2</v>
      </c>
      <c r="H225" s="13">
        <v>1.65</v>
      </c>
      <c r="I225" s="13"/>
      <c r="J225" s="13">
        <v>74.058000000000007</v>
      </c>
    </row>
    <row r="226" spans="1:10" ht="101.25" x14ac:dyDescent="0.2">
      <c r="A226" s="18" t="s">
        <v>918</v>
      </c>
      <c r="B226" s="16" t="s">
        <v>1075</v>
      </c>
      <c r="C226" s="16" t="s">
        <v>23</v>
      </c>
      <c r="D226" s="16" t="s">
        <v>24</v>
      </c>
      <c r="E226" s="17"/>
      <c r="F226" s="17">
        <v>2.2280000000000002</v>
      </c>
      <c r="G226" s="17">
        <v>0.2</v>
      </c>
      <c r="H226" s="17">
        <v>1.65</v>
      </c>
      <c r="I226" s="17"/>
      <c r="J226" s="17">
        <v>74.058000000000007</v>
      </c>
    </row>
    <row r="227" spans="1:10" ht="90" x14ac:dyDescent="0.2">
      <c r="A227" s="14" t="s">
        <v>919</v>
      </c>
      <c r="B227" s="12" t="s">
        <v>1076</v>
      </c>
      <c r="C227" s="12"/>
      <c r="D227" s="12"/>
      <c r="E227" s="13"/>
      <c r="F227" s="13">
        <v>4.2859999999999996</v>
      </c>
      <c r="G227" s="13"/>
      <c r="H227" s="13">
        <v>2.5</v>
      </c>
      <c r="I227" s="13"/>
      <c r="J227" s="13">
        <v>58.329000000000001</v>
      </c>
    </row>
    <row r="228" spans="1:10" ht="78.75" x14ac:dyDescent="0.2">
      <c r="A228" s="18" t="s">
        <v>919</v>
      </c>
      <c r="B228" s="16" t="s">
        <v>1077</v>
      </c>
      <c r="C228" s="16" t="s">
        <v>23</v>
      </c>
      <c r="D228" s="16" t="s">
        <v>24</v>
      </c>
      <c r="E228" s="17"/>
      <c r="F228" s="17">
        <v>4.2859999999999996</v>
      </c>
      <c r="G228" s="17"/>
      <c r="H228" s="17">
        <v>2.5</v>
      </c>
      <c r="I228" s="17"/>
      <c r="J228" s="17">
        <v>58.329000000000001</v>
      </c>
    </row>
    <row r="229" spans="1:10" ht="78.75" x14ac:dyDescent="0.2">
      <c r="A229" s="14" t="s">
        <v>920</v>
      </c>
      <c r="B229" s="12" t="s">
        <v>1078</v>
      </c>
      <c r="C229" s="12"/>
      <c r="D229" s="12"/>
      <c r="E229" s="13"/>
      <c r="F229" s="13">
        <v>2.214</v>
      </c>
      <c r="G229" s="13">
        <v>45</v>
      </c>
      <c r="H229" s="13">
        <v>46.5</v>
      </c>
      <c r="I229" s="13"/>
      <c r="J229" s="13">
        <v>2100.2710000000002</v>
      </c>
    </row>
    <row r="230" spans="1:10" ht="67.5" x14ac:dyDescent="0.2">
      <c r="A230" s="18" t="s">
        <v>920</v>
      </c>
      <c r="B230" s="16" t="s">
        <v>1079</v>
      </c>
      <c r="C230" s="16" t="s">
        <v>23</v>
      </c>
      <c r="D230" s="16" t="s">
        <v>24</v>
      </c>
      <c r="E230" s="17"/>
      <c r="F230" s="17">
        <v>2.214</v>
      </c>
      <c r="G230" s="17">
        <v>45</v>
      </c>
      <c r="H230" s="17">
        <v>46.5</v>
      </c>
      <c r="I230" s="17"/>
      <c r="J230" s="17">
        <v>2100.2710000000002</v>
      </c>
    </row>
    <row r="231" spans="1:10" ht="78.75" x14ac:dyDescent="0.2">
      <c r="A231" s="11" t="s">
        <v>925</v>
      </c>
      <c r="B231" s="12" t="s">
        <v>1080</v>
      </c>
      <c r="C231" s="12"/>
      <c r="D231" s="12"/>
      <c r="E231" s="13">
        <v>17.5</v>
      </c>
      <c r="F231" s="13">
        <v>101.86199999999999</v>
      </c>
      <c r="G231" s="13">
        <v>10.705</v>
      </c>
      <c r="H231" s="13">
        <v>70.69</v>
      </c>
      <c r="I231" s="13">
        <v>403.94200000000001</v>
      </c>
      <c r="J231" s="13">
        <v>69.397999999999996</v>
      </c>
    </row>
    <row r="232" spans="1:10" ht="101.25" x14ac:dyDescent="0.2">
      <c r="A232" s="14" t="s">
        <v>926</v>
      </c>
      <c r="B232" s="12" t="s">
        <v>1081</v>
      </c>
      <c r="C232" s="12"/>
      <c r="D232" s="12"/>
      <c r="E232" s="13">
        <v>17.5</v>
      </c>
      <c r="F232" s="13">
        <v>101.86199999999999</v>
      </c>
      <c r="G232" s="13">
        <v>10.705</v>
      </c>
      <c r="H232" s="13">
        <v>70.69</v>
      </c>
      <c r="I232" s="13">
        <v>403.94200000000001</v>
      </c>
      <c r="J232" s="13">
        <v>69.397999999999996</v>
      </c>
    </row>
    <row r="233" spans="1:10" ht="90" x14ac:dyDescent="0.2">
      <c r="A233" s="18" t="s">
        <v>926</v>
      </c>
      <c r="B233" s="16" t="s">
        <v>1082</v>
      </c>
      <c r="C233" s="16" t="s">
        <v>23</v>
      </c>
      <c r="D233" s="16" t="s">
        <v>24</v>
      </c>
      <c r="E233" s="17">
        <v>17.5</v>
      </c>
      <c r="F233" s="17"/>
      <c r="G233" s="17"/>
      <c r="H233" s="17"/>
      <c r="I233" s="17"/>
      <c r="J233" s="17"/>
    </row>
    <row r="234" spans="1:10" ht="168.75" x14ac:dyDescent="0.2">
      <c r="A234" s="14" t="s">
        <v>928</v>
      </c>
      <c r="B234" s="12" t="s">
        <v>1083</v>
      </c>
      <c r="C234" s="12"/>
      <c r="D234" s="12"/>
      <c r="E234" s="13"/>
      <c r="F234" s="13">
        <v>6.5869999999999997</v>
      </c>
      <c r="G234" s="13"/>
      <c r="H234" s="13">
        <v>4</v>
      </c>
      <c r="I234" s="13"/>
      <c r="J234" s="13">
        <v>60.725999999999999</v>
      </c>
    </row>
    <row r="235" spans="1:10" ht="157.5" x14ac:dyDescent="0.2">
      <c r="A235" s="18" t="s">
        <v>928</v>
      </c>
      <c r="B235" s="16" t="s">
        <v>1084</v>
      </c>
      <c r="C235" s="16" t="s">
        <v>23</v>
      </c>
      <c r="D235" s="16" t="s">
        <v>24</v>
      </c>
      <c r="E235" s="17"/>
      <c r="F235" s="17">
        <v>6.5869999999999997</v>
      </c>
      <c r="G235" s="17"/>
      <c r="H235" s="17">
        <v>4</v>
      </c>
      <c r="I235" s="17"/>
      <c r="J235" s="17">
        <v>60.725999999999999</v>
      </c>
    </row>
    <row r="236" spans="1:10" ht="180" x14ac:dyDescent="0.2">
      <c r="A236" s="14" t="s">
        <v>929</v>
      </c>
      <c r="B236" s="12" t="s">
        <v>1085</v>
      </c>
      <c r="C236" s="12"/>
      <c r="D236" s="12"/>
      <c r="E236" s="13"/>
      <c r="F236" s="13">
        <v>33.774999999999999</v>
      </c>
      <c r="G236" s="13">
        <v>8</v>
      </c>
      <c r="H236" s="13">
        <v>26.484999999999999</v>
      </c>
      <c r="I236" s="13"/>
      <c r="J236" s="13">
        <v>78.417000000000002</v>
      </c>
    </row>
    <row r="237" spans="1:10" ht="157.5" x14ac:dyDescent="0.2">
      <c r="A237" s="18" t="s">
        <v>929</v>
      </c>
      <c r="B237" s="16" t="s">
        <v>1086</v>
      </c>
      <c r="C237" s="16" t="s">
        <v>23</v>
      </c>
      <c r="D237" s="16" t="s">
        <v>24</v>
      </c>
      <c r="E237" s="17"/>
      <c r="F237" s="17">
        <v>33.774999999999999</v>
      </c>
      <c r="G237" s="17">
        <v>8</v>
      </c>
      <c r="H237" s="17">
        <v>26.484999999999999</v>
      </c>
      <c r="I237" s="17"/>
      <c r="J237" s="17">
        <v>78.417000000000002</v>
      </c>
    </row>
    <row r="238" spans="1:10" ht="101.25" x14ac:dyDescent="0.2">
      <c r="A238" s="14" t="s">
        <v>930</v>
      </c>
      <c r="B238" s="12" t="s">
        <v>1087</v>
      </c>
      <c r="C238" s="12"/>
      <c r="D238" s="12"/>
      <c r="E238" s="13"/>
      <c r="F238" s="13">
        <v>61.5</v>
      </c>
      <c r="G238" s="13">
        <v>2.7040000000000002</v>
      </c>
      <c r="H238" s="13">
        <v>40.204000000000001</v>
      </c>
      <c r="I238" s="13"/>
      <c r="J238" s="13">
        <v>65.373000000000005</v>
      </c>
    </row>
    <row r="239" spans="1:10" ht="90" x14ac:dyDescent="0.2">
      <c r="A239" s="18" t="s">
        <v>930</v>
      </c>
      <c r="B239" s="16" t="s">
        <v>1088</v>
      </c>
      <c r="C239" s="16" t="s">
        <v>23</v>
      </c>
      <c r="D239" s="16" t="s">
        <v>24</v>
      </c>
      <c r="E239" s="17"/>
      <c r="F239" s="17">
        <v>5.5</v>
      </c>
      <c r="G239" s="17"/>
      <c r="H239" s="17">
        <v>2.5</v>
      </c>
      <c r="I239" s="17"/>
      <c r="J239" s="17">
        <v>45.454999999999998</v>
      </c>
    </row>
    <row r="240" spans="1:10" ht="90" x14ac:dyDescent="0.2">
      <c r="A240" s="18" t="s">
        <v>930</v>
      </c>
      <c r="B240" s="16" t="s">
        <v>1089</v>
      </c>
      <c r="C240" s="16" t="s">
        <v>23</v>
      </c>
      <c r="D240" s="16" t="s">
        <v>24</v>
      </c>
      <c r="E240" s="17"/>
      <c r="F240" s="17">
        <v>56</v>
      </c>
      <c r="G240" s="17">
        <v>2.7040000000000002</v>
      </c>
      <c r="H240" s="17">
        <v>37.704000000000001</v>
      </c>
      <c r="I240" s="17"/>
      <c r="J240" s="17">
        <v>67.328999999999994</v>
      </c>
    </row>
    <row r="241" spans="1:10" ht="56.25" x14ac:dyDescent="0.2">
      <c r="A241" s="11" t="s">
        <v>933</v>
      </c>
      <c r="B241" s="12" t="s">
        <v>1090</v>
      </c>
      <c r="C241" s="12"/>
      <c r="D241" s="12"/>
      <c r="E241" s="13"/>
      <c r="F241" s="13">
        <v>3</v>
      </c>
      <c r="G241" s="13">
        <v>0.15</v>
      </c>
      <c r="H241" s="13">
        <v>1.65</v>
      </c>
      <c r="I241" s="13"/>
      <c r="J241" s="13">
        <v>55</v>
      </c>
    </row>
    <row r="242" spans="1:10" ht="78.75" x14ac:dyDescent="0.2">
      <c r="A242" s="14" t="s">
        <v>934</v>
      </c>
      <c r="B242" s="12" t="s">
        <v>1091</v>
      </c>
      <c r="C242" s="12"/>
      <c r="D242" s="12"/>
      <c r="E242" s="13"/>
      <c r="F242" s="13">
        <v>3</v>
      </c>
      <c r="G242" s="13">
        <v>0.15</v>
      </c>
      <c r="H242" s="13">
        <v>1.65</v>
      </c>
      <c r="I242" s="13"/>
      <c r="J242" s="13">
        <v>55</v>
      </c>
    </row>
    <row r="243" spans="1:10" ht="90" x14ac:dyDescent="0.2">
      <c r="A243" s="14" t="s">
        <v>936</v>
      </c>
      <c r="B243" s="12" t="s">
        <v>1092</v>
      </c>
      <c r="C243" s="12"/>
      <c r="D243" s="12"/>
      <c r="E243" s="13"/>
      <c r="F243" s="13"/>
      <c r="G243" s="13">
        <v>0.15</v>
      </c>
      <c r="H243" s="13">
        <v>0.15</v>
      </c>
      <c r="I243" s="13"/>
      <c r="J243" s="13"/>
    </row>
    <row r="244" spans="1:10" ht="78.75" x14ac:dyDescent="0.2">
      <c r="A244" s="18" t="s">
        <v>936</v>
      </c>
      <c r="B244" s="16" t="s">
        <v>1093</v>
      </c>
      <c r="C244" s="16" t="s">
        <v>23</v>
      </c>
      <c r="D244" s="16" t="s">
        <v>24</v>
      </c>
      <c r="E244" s="17"/>
      <c r="F244" s="17"/>
      <c r="G244" s="17">
        <v>0.15</v>
      </c>
      <c r="H244" s="17">
        <v>0.15</v>
      </c>
      <c r="I244" s="17"/>
      <c r="J244" s="17"/>
    </row>
    <row r="245" spans="1:10" ht="90" x14ac:dyDescent="0.2">
      <c r="A245" s="14" t="s">
        <v>937</v>
      </c>
      <c r="B245" s="12" t="s">
        <v>1094</v>
      </c>
      <c r="C245" s="12"/>
      <c r="D245" s="12"/>
      <c r="E245" s="13"/>
      <c r="F245" s="13">
        <v>3</v>
      </c>
      <c r="G245" s="13"/>
      <c r="H245" s="13">
        <v>1.5</v>
      </c>
      <c r="I245" s="13"/>
      <c r="J245" s="13">
        <v>50</v>
      </c>
    </row>
    <row r="246" spans="1:10" ht="78.75" x14ac:dyDescent="0.2">
      <c r="A246" s="18" t="s">
        <v>937</v>
      </c>
      <c r="B246" s="16" t="s">
        <v>1095</v>
      </c>
      <c r="C246" s="16" t="s">
        <v>23</v>
      </c>
      <c r="D246" s="16" t="s">
        <v>24</v>
      </c>
      <c r="E246" s="17"/>
      <c r="F246" s="17">
        <v>3</v>
      </c>
      <c r="G246" s="17"/>
      <c r="H246" s="17">
        <v>1.5</v>
      </c>
      <c r="I246" s="17"/>
      <c r="J246" s="17">
        <v>50</v>
      </c>
    </row>
    <row r="247" spans="1:10" ht="56.25" x14ac:dyDescent="0.2">
      <c r="A247" s="11" t="s">
        <v>939</v>
      </c>
      <c r="B247" s="12" t="s">
        <v>1096</v>
      </c>
      <c r="C247" s="12"/>
      <c r="D247" s="12"/>
      <c r="E247" s="13"/>
      <c r="F247" s="13">
        <v>188.73599999999999</v>
      </c>
      <c r="G247" s="13">
        <v>34</v>
      </c>
      <c r="H247" s="13">
        <v>141</v>
      </c>
      <c r="I247" s="13"/>
      <c r="J247" s="13">
        <v>74.707999999999998</v>
      </c>
    </row>
    <row r="248" spans="1:10" ht="78.75" x14ac:dyDescent="0.2">
      <c r="A248" s="14" t="s">
        <v>940</v>
      </c>
      <c r="B248" s="12" t="s">
        <v>1097</v>
      </c>
      <c r="C248" s="12"/>
      <c r="D248" s="12"/>
      <c r="E248" s="13"/>
      <c r="F248" s="13">
        <v>188.73599999999999</v>
      </c>
      <c r="G248" s="13">
        <v>34</v>
      </c>
      <c r="H248" s="13">
        <v>141</v>
      </c>
      <c r="I248" s="13"/>
      <c r="J248" s="13">
        <v>74.707999999999998</v>
      </c>
    </row>
    <row r="249" spans="1:10" ht="112.5" x14ac:dyDescent="0.2">
      <c r="A249" s="14" t="s">
        <v>942</v>
      </c>
      <c r="B249" s="12" t="s">
        <v>1098</v>
      </c>
      <c r="C249" s="12"/>
      <c r="D249" s="12"/>
      <c r="E249" s="13"/>
      <c r="F249" s="13">
        <v>44</v>
      </c>
      <c r="G249" s="13"/>
      <c r="H249" s="13">
        <v>26</v>
      </c>
      <c r="I249" s="13"/>
      <c r="J249" s="13">
        <v>59.091000000000001</v>
      </c>
    </row>
    <row r="250" spans="1:10" ht="101.25" x14ac:dyDescent="0.2">
      <c r="A250" s="18" t="s">
        <v>942</v>
      </c>
      <c r="B250" s="16" t="s">
        <v>1099</v>
      </c>
      <c r="C250" s="16" t="s">
        <v>23</v>
      </c>
      <c r="D250" s="16" t="s">
        <v>24</v>
      </c>
      <c r="E250" s="17"/>
      <c r="F250" s="17">
        <v>44</v>
      </c>
      <c r="G250" s="17"/>
      <c r="H250" s="17">
        <v>26</v>
      </c>
      <c r="I250" s="17"/>
      <c r="J250" s="17">
        <v>59.091000000000001</v>
      </c>
    </row>
    <row r="251" spans="1:10" ht="112.5" x14ac:dyDescent="0.2">
      <c r="A251" s="14" t="s">
        <v>943</v>
      </c>
      <c r="B251" s="12" t="s">
        <v>1100</v>
      </c>
      <c r="C251" s="12"/>
      <c r="D251" s="12"/>
      <c r="E251" s="13"/>
      <c r="F251" s="13">
        <v>32.143000000000001</v>
      </c>
      <c r="G251" s="13">
        <v>4</v>
      </c>
      <c r="H251" s="13">
        <v>27</v>
      </c>
      <c r="I251" s="13"/>
      <c r="J251" s="13">
        <v>84</v>
      </c>
    </row>
    <row r="252" spans="1:10" ht="101.25" x14ac:dyDescent="0.2">
      <c r="A252" s="18" t="s">
        <v>943</v>
      </c>
      <c r="B252" s="16" t="s">
        <v>1101</v>
      </c>
      <c r="C252" s="16" t="s">
        <v>23</v>
      </c>
      <c r="D252" s="16" t="s">
        <v>24</v>
      </c>
      <c r="E252" s="17"/>
      <c r="F252" s="17">
        <v>32.143000000000001</v>
      </c>
      <c r="G252" s="17">
        <v>4</v>
      </c>
      <c r="H252" s="17">
        <v>27</v>
      </c>
      <c r="I252" s="17"/>
      <c r="J252" s="17">
        <v>84</v>
      </c>
    </row>
    <row r="253" spans="1:10" ht="112.5" x14ac:dyDescent="0.2">
      <c r="A253" s="14" t="s">
        <v>944</v>
      </c>
      <c r="B253" s="12" t="s">
        <v>1102</v>
      </c>
      <c r="C253" s="12"/>
      <c r="D253" s="12"/>
      <c r="E253" s="13"/>
      <c r="F253" s="13">
        <v>112.593</v>
      </c>
      <c r="G253" s="13">
        <v>30</v>
      </c>
      <c r="H253" s="13">
        <v>88</v>
      </c>
      <c r="I253" s="13"/>
      <c r="J253" s="13">
        <v>78.158000000000001</v>
      </c>
    </row>
    <row r="254" spans="1:10" ht="90" x14ac:dyDescent="0.2">
      <c r="A254" s="18" t="s">
        <v>944</v>
      </c>
      <c r="B254" s="16" t="s">
        <v>1103</v>
      </c>
      <c r="C254" s="16" t="s">
        <v>23</v>
      </c>
      <c r="D254" s="16" t="s">
        <v>24</v>
      </c>
      <c r="E254" s="17"/>
      <c r="F254" s="17">
        <v>112.593</v>
      </c>
      <c r="G254" s="17">
        <v>30</v>
      </c>
      <c r="H254" s="17">
        <v>88</v>
      </c>
      <c r="I254" s="17"/>
      <c r="J254" s="17">
        <v>78.158000000000001</v>
      </c>
    </row>
    <row r="255" spans="1:10" ht="67.5" x14ac:dyDescent="0.2">
      <c r="A255" s="11" t="s">
        <v>946</v>
      </c>
      <c r="B255" s="12" t="s">
        <v>1104</v>
      </c>
      <c r="C255" s="12"/>
      <c r="D255" s="12"/>
      <c r="E255" s="13"/>
      <c r="F255" s="13">
        <v>63.756</v>
      </c>
      <c r="G255" s="13">
        <v>14.625</v>
      </c>
      <c r="H255" s="13">
        <v>63.024999999999999</v>
      </c>
      <c r="I255" s="13"/>
      <c r="J255" s="13">
        <v>98.852999999999994</v>
      </c>
    </row>
    <row r="256" spans="1:10" ht="90" x14ac:dyDescent="0.2">
      <c r="A256" s="14" t="s">
        <v>967</v>
      </c>
      <c r="B256" s="12" t="s">
        <v>1105</v>
      </c>
      <c r="C256" s="12"/>
      <c r="D256" s="12"/>
      <c r="E256" s="13"/>
      <c r="F256" s="13">
        <v>63.756</v>
      </c>
      <c r="G256" s="13">
        <v>14.625</v>
      </c>
      <c r="H256" s="13">
        <v>63.024999999999999</v>
      </c>
      <c r="I256" s="13"/>
      <c r="J256" s="13">
        <v>98.852999999999994</v>
      </c>
    </row>
    <row r="257" spans="1:10" ht="123.75" x14ac:dyDescent="0.2">
      <c r="A257" s="14" t="s">
        <v>948</v>
      </c>
      <c r="B257" s="12" t="s">
        <v>1106</v>
      </c>
      <c r="C257" s="12"/>
      <c r="D257" s="12"/>
      <c r="E257" s="13"/>
      <c r="F257" s="13">
        <v>8.4640000000000004</v>
      </c>
      <c r="G257" s="13"/>
      <c r="H257" s="13">
        <v>6</v>
      </c>
      <c r="I257" s="13"/>
      <c r="J257" s="13">
        <v>70.888999999999996</v>
      </c>
    </row>
    <row r="258" spans="1:10" ht="112.5" x14ac:dyDescent="0.2">
      <c r="A258" s="18" t="s">
        <v>948</v>
      </c>
      <c r="B258" s="16" t="s">
        <v>1107</v>
      </c>
      <c r="C258" s="16" t="s">
        <v>23</v>
      </c>
      <c r="D258" s="16" t="s">
        <v>24</v>
      </c>
      <c r="E258" s="17"/>
      <c r="F258" s="17">
        <v>8.4640000000000004</v>
      </c>
      <c r="G258" s="17"/>
      <c r="H258" s="17">
        <v>6</v>
      </c>
      <c r="I258" s="17"/>
      <c r="J258" s="17">
        <v>70.888999999999996</v>
      </c>
    </row>
    <row r="259" spans="1:10" ht="101.25" x14ac:dyDescent="0.2">
      <c r="A259" s="14" t="s">
        <v>949</v>
      </c>
      <c r="B259" s="12" t="s">
        <v>1108</v>
      </c>
      <c r="C259" s="12"/>
      <c r="D259" s="12"/>
      <c r="E259" s="13"/>
      <c r="F259" s="13">
        <v>55.292000000000002</v>
      </c>
      <c r="G259" s="13">
        <v>14.625</v>
      </c>
      <c r="H259" s="13">
        <v>57.024999999999999</v>
      </c>
      <c r="I259" s="13"/>
      <c r="J259" s="13">
        <v>103.134</v>
      </c>
    </row>
    <row r="260" spans="1:10" ht="90" x14ac:dyDescent="0.2">
      <c r="A260" s="18" t="s">
        <v>949</v>
      </c>
      <c r="B260" s="16" t="s">
        <v>1109</v>
      </c>
      <c r="C260" s="16" t="s">
        <v>23</v>
      </c>
      <c r="D260" s="16" t="s">
        <v>24</v>
      </c>
      <c r="E260" s="17"/>
      <c r="F260" s="17">
        <v>55.292000000000002</v>
      </c>
      <c r="G260" s="17">
        <v>14.625</v>
      </c>
      <c r="H260" s="17">
        <v>57.024999999999999</v>
      </c>
      <c r="I260" s="17"/>
      <c r="J260" s="17">
        <v>103.134</v>
      </c>
    </row>
    <row r="261" spans="1:10" ht="67.5" x14ac:dyDescent="0.2">
      <c r="A261" s="11" t="s">
        <v>951</v>
      </c>
      <c r="B261" s="12" t="s">
        <v>1110</v>
      </c>
      <c r="C261" s="12"/>
      <c r="D261" s="12"/>
      <c r="E261" s="13"/>
      <c r="F261" s="13">
        <v>20.657</v>
      </c>
      <c r="G261" s="13">
        <v>0.3</v>
      </c>
      <c r="H261" s="13">
        <v>7.9</v>
      </c>
      <c r="I261" s="13"/>
      <c r="J261" s="13">
        <v>38.244</v>
      </c>
    </row>
    <row r="262" spans="1:10" ht="112.5" x14ac:dyDescent="0.2">
      <c r="A262" s="14" t="s">
        <v>966</v>
      </c>
      <c r="B262" s="12" t="s">
        <v>1111</v>
      </c>
      <c r="C262" s="12"/>
      <c r="D262" s="12"/>
      <c r="E262" s="13"/>
      <c r="F262" s="13">
        <v>20.657</v>
      </c>
      <c r="G262" s="13">
        <v>0.3</v>
      </c>
      <c r="H262" s="13">
        <v>7.9</v>
      </c>
      <c r="I262" s="13"/>
      <c r="J262" s="13">
        <v>38.244</v>
      </c>
    </row>
    <row r="263" spans="1:10" ht="135" x14ac:dyDescent="0.2">
      <c r="A263" s="14" t="s">
        <v>1112</v>
      </c>
      <c r="B263" s="12" t="s">
        <v>1113</v>
      </c>
      <c r="C263" s="12"/>
      <c r="D263" s="12"/>
      <c r="E263" s="13"/>
      <c r="F263" s="13">
        <v>1.65</v>
      </c>
      <c r="G263" s="13">
        <v>0.15</v>
      </c>
      <c r="H263" s="13">
        <v>0.3</v>
      </c>
      <c r="I263" s="13"/>
      <c r="J263" s="13">
        <v>18.181999999999999</v>
      </c>
    </row>
    <row r="264" spans="1:10" ht="123.75" x14ac:dyDescent="0.2">
      <c r="A264" s="18" t="s">
        <v>1112</v>
      </c>
      <c r="B264" s="16" t="s">
        <v>1114</v>
      </c>
      <c r="C264" s="16" t="s">
        <v>23</v>
      </c>
      <c r="D264" s="16" t="s">
        <v>24</v>
      </c>
      <c r="E264" s="17"/>
      <c r="F264" s="17">
        <v>1.65</v>
      </c>
      <c r="G264" s="17">
        <v>0.15</v>
      </c>
      <c r="H264" s="17">
        <v>0.3</v>
      </c>
      <c r="I264" s="17"/>
      <c r="J264" s="17">
        <v>18.181999999999999</v>
      </c>
    </row>
    <row r="265" spans="1:10" ht="146.25" x14ac:dyDescent="0.2">
      <c r="A265" s="14" t="s">
        <v>953</v>
      </c>
      <c r="B265" s="12" t="s">
        <v>1115</v>
      </c>
      <c r="C265" s="12"/>
      <c r="D265" s="12"/>
      <c r="E265" s="13"/>
      <c r="F265" s="13">
        <v>7.4569999999999999</v>
      </c>
      <c r="G265" s="13"/>
      <c r="H265" s="13">
        <v>4.6500000000000004</v>
      </c>
      <c r="I265" s="13"/>
      <c r="J265" s="13">
        <v>62.357999999999997</v>
      </c>
    </row>
    <row r="266" spans="1:10" ht="123.75" x14ac:dyDescent="0.2">
      <c r="A266" s="18" t="s">
        <v>953</v>
      </c>
      <c r="B266" s="16" t="s">
        <v>1116</v>
      </c>
      <c r="C266" s="16" t="s">
        <v>23</v>
      </c>
      <c r="D266" s="16" t="s">
        <v>24</v>
      </c>
      <c r="E266" s="17"/>
      <c r="F266" s="17">
        <v>7.4569999999999999</v>
      </c>
      <c r="G266" s="17"/>
      <c r="H266" s="17">
        <v>4.6500000000000004</v>
      </c>
      <c r="I266" s="17"/>
      <c r="J266" s="17">
        <v>62.357999999999997</v>
      </c>
    </row>
    <row r="267" spans="1:10" ht="123.75" x14ac:dyDescent="0.2">
      <c r="A267" s="14" t="s">
        <v>954</v>
      </c>
      <c r="B267" s="12" t="s">
        <v>1117</v>
      </c>
      <c r="C267" s="12"/>
      <c r="D267" s="12"/>
      <c r="E267" s="13"/>
      <c r="F267" s="13">
        <v>11.55</v>
      </c>
      <c r="G267" s="13">
        <v>0.15</v>
      </c>
      <c r="H267" s="13">
        <v>2.95</v>
      </c>
      <c r="I267" s="13"/>
      <c r="J267" s="13">
        <v>25.541</v>
      </c>
    </row>
    <row r="268" spans="1:10" ht="101.25" x14ac:dyDescent="0.2">
      <c r="A268" s="18" t="s">
        <v>954</v>
      </c>
      <c r="B268" s="16" t="s">
        <v>1118</v>
      </c>
      <c r="C268" s="16" t="s">
        <v>23</v>
      </c>
      <c r="D268" s="16" t="s">
        <v>24</v>
      </c>
      <c r="E268" s="17"/>
      <c r="F268" s="17">
        <v>11.55</v>
      </c>
      <c r="G268" s="17">
        <v>0.15</v>
      </c>
      <c r="H268" s="17">
        <v>2.95</v>
      </c>
      <c r="I268" s="17"/>
      <c r="J268" s="17">
        <v>25.541</v>
      </c>
    </row>
    <row r="269" spans="1:10" ht="56.25" x14ac:dyDescent="0.2">
      <c r="A269" s="11" t="s">
        <v>957</v>
      </c>
      <c r="B269" s="12" t="s">
        <v>1119</v>
      </c>
      <c r="C269" s="12"/>
      <c r="D269" s="12"/>
      <c r="E269" s="13"/>
      <c r="F269" s="13">
        <v>2.5</v>
      </c>
      <c r="G269" s="13"/>
      <c r="H269" s="13">
        <v>1.25</v>
      </c>
      <c r="I269" s="13"/>
      <c r="J269" s="13">
        <v>50</v>
      </c>
    </row>
    <row r="270" spans="1:10" ht="78.75" x14ac:dyDescent="0.2">
      <c r="A270" s="14" t="s">
        <v>965</v>
      </c>
      <c r="B270" s="12" t="s">
        <v>1120</v>
      </c>
      <c r="C270" s="12"/>
      <c r="D270" s="12"/>
      <c r="E270" s="13"/>
      <c r="F270" s="13">
        <v>2.5</v>
      </c>
      <c r="G270" s="13"/>
      <c r="H270" s="13">
        <v>1.25</v>
      </c>
      <c r="I270" s="13"/>
      <c r="J270" s="13">
        <v>50</v>
      </c>
    </row>
    <row r="271" spans="1:10" ht="123.75" x14ac:dyDescent="0.2">
      <c r="A271" s="14" t="s">
        <v>959</v>
      </c>
      <c r="B271" s="12" t="s">
        <v>1121</v>
      </c>
      <c r="C271" s="12"/>
      <c r="D271" s="12"/>
      <c r="E271" s="13"/>
      <c r="F271" s="13">
        <v>2</v>
      </c>
      <c r="G271" s="13"/>
      <c r="H271" s="13">
        <v>1</v>
      </c>
      <c r="I271" s="13"/>
      <c r="J271" s="13">
        <v>50</v>
      </c>
    </row>
    <row r="272" spans="1:10" ht="112.5" x14ac:dyDescent="0.2">
      <c r="A272" s="18" t="s">
        <v>959</v>
      </c>
      <c r="B272" s="16" t="s">
        <v>1122</v>
      </c>
      <c r="C272" s="16" t="s">
        <v>23</v>
      </c>
      <c r="D272" s="16" t="s">
        <v>24</v>
      </c>
      <c r="E272" s="17"/>
      <c r="F272" s="17">
        <v>2</v>
      </c>
      <c r="G272" s="17"/>
      <c r="H272" s="17">
        <v>1</v>
      </c>
      <c r="I272" s="17"/>
      <c r="J272" s="17">
        <v>50</v>
      </c>
    </row>
    <row r="273" spans="1:10" ht="90" x14ac:dyDescent="0.2">
      <c r="A273" s="14" t="s">
        <v>960</v>
      </c>
      <c r="B273" s="12" t="s">
        <v>1123</v>
      </c>
      <c r="C273" s="12"/>
      <c r="D273" s="12"/>
      <c r="E273" s="13"/>
      <c r="F273" s="13">
        <v>0.5</v>
      </c>
      <c r="G273" s="13"/>
      <c r="H273" s="13">
        <v>0.25</v>
      </c>
      <c r="I273" s="13"/>
      <c r="J273" s="13">
        <v>50</v>
      </c>
    </row>
    <row r="274" spans="1:10" ht="78.75" x14ac:dyDescent="0.2">
      <c r="A274" s="18" t="s">
        <v>960</v>
      </c>
      <c r="B274" s="16" t="s">
        <v>1124</v>
      </c>
      <c r="C274" s="16" t="s">
        <v>23</v>
      </c>
      <c r="D274" s="16" t="s">
        <v>24</v>
      </c>
      <c r="E274" s="17"/>
      <c r="F274" s="17">
        <v>0.5</v>
      </c>
      <c r="G274" s="17"/>
      <c r="H274" s="17">
        <v>0.25</v>
      </c>
      <c r="I274" s="17"/>
      <c r="J274" s="17">
        <v>50</v>
      </c>
    </row>
    <row r="275" spans="1:10" ht="56.25" x14ac:dyDescent="0.2">
      <c r="A275" s="11" t="s">
        <v>962</v>
      </c>
      <c r="B275" s="12" t="s">
        <v>1125</v>
      </c>
      <c r="C275" s="12"/>
      <c r="D275" s="12"/>
      <c r="E275" s="13"/>
      <c r="F275" s="13">
        <v>224.7</v>
      </c>
      <c r="G275" s="13">
        <v>54.009</v>
      </c>
      <c r="H275" s="13">
        <v>196.42099999999999</v>
      </c>
      <c r="I275" s="13"/>
      <c r="J275" s="13">
        <v>87.415000000000006</v>
      </c>
    </row>
    <row r="276" spans="1:10" ht="78.75" x14ac:dyDescent="0.2">
      <c r="A276" s="14" t="s">
        <v>964</v>
      </c>
      <c r="B276" s="12" t="s">
        <v>1126</v>
      </c>
      <c r="C276" s="12"/>
      <c r="D276" s="12"/>
      <c r="E276" s="13"/>
      <c r="F276" s="13">
        <v>224.7</v>
      </c>
      <c r="G276" s="13">
        <v>54.009</v>
      </c>
      <c r="H276" s="13">
        <v>196.42099999999999</v>
      </c>
      <c r="I276" s="13"/>
      <c r="J276" s="13">
        <v>87.415000000000006</v>
      </c>
    </row>
    <row r="277" spans="1:10" ht="180" x14ac:dyDescent="0.2">
      <c r="A277" s="14" t="s">
        <v>968</v>
      </c>
      <c r="B277" s="12" t="s">
        <v>1127</v>
      </c>
      <c r="C277" s="12"/>
      <c r="D277" s="12"/>
      <c r="E277" s="13"/>
      <c r="F277" s="13">
        <v>215.5</v>
      </c>
      <c r="G277" s="13">
        <v>54.009</v>
      </c>
      <c r="H277" s="13">
        <v>190.92099999999999</v>
      </c>
      <c r="I277" s="13"/>
      <c r="J277" s="13">
        <v>88.593999999999994</v>
      </c>
    </row>
    <row r="278" spans="1:10" ht="157.5" x14ac:dyDescent="0.2">
      <c r="A278" s="18" t="s">
        <v>968</v>
      </c>
      <c r="B278" s="16" t="s">
        <v>1128</v>
      </c>
      <c r="C278" s="16" t="s">
        <v>23</v>
      </c>
      <c r="D278" s="16" t="s">
        <v>24</v>
      </c>
      <c r="E278" s="17"/>
      <c r="F278" s="17">
        <v>215.5</v>
      </c>
      <c r="G278" s="17">
        <v>54.009</v>
      </c>
      <c r="H278" s="17">
        <v>190.92099999999999</v>
      </c>
      <c r="I278" s="17"/>
      <c r="J278" s="17">
        <v>88.593999999999994</v>
      </c>
    </row>
    <row r="279" spans="1:10" ht="90" x14ac:dyDescent="0.2">
      <c r="A279" s="14" t="s">
        <v>969</v>
      </c>
      <c r="B279" s="12" t="s">
        <v>1129</v>
      </c>
      <c r="C279" s="12"/>
      <c r="D279" s="12"/>
      <c r="E279" s="13"/>
      <c r="F279" s="13">
        <v>7.2</v>
      </c>
      <c r="G279" s="13"/>
      <c r="H279" s="13">
        <v>4.5</v>
      </c>
      <c r="I279" s="13"/>
      <c r="J279" s="13">
        <v>62.5</v>
      </c>
    </row>
    <row r="280" spans="1:10" ht="78.75" x14ac:dyDescent="0.2">
      <c r="A280" s="18" t="s">
        <v>969</v>
      </c>
      <c r="B280" s="16" t="s">
        <v>1130</v>
      </c>
      <c r="C280" s="16" t="s">
        <v>23</v>
      </c>
      <c r="D280" s="16" t="s">
        <v>24</v>
      </c>
      <c r="E280" s="17"/>
      <c r="F280" s="17">
        <v>7.2</v>
      </c>
      <c r="G280" s="17"/>
      <c r="H280" s="17">
        <v>4.5</v>
      </c>
      <c r="I280" s="17"/>
      <c r="J280" s="17">
        <v>62.5</v>
      </c>
    </row>
    <row r="281" spans="1:10" ht="90" x14ac:dyDescent="0.2">
      <c r="A281" s="14" t="s">
        <v>970</v>
      </c>
      <c r="B281" s="12" t="s">
        <v>1131</v>
      </c>
      <c r="C281" s="12"/>
      <c r="D281" s="12"/>
      <c r="E281" s="13"/>
      <c r="F281" s="13">
        <v>2</v>
      </c>
      <c r="G281" s="13"/>
      <c r="H281" s="13">
        <v>1</v>
      </c>
      <c r="I281" s="13"/>
      <c r="J281" s="13">
        <v>50</v>
      </c>
    </row>
    <row r="282" spans="1:10" ht="67.5" x14ac:dyDescent="0.2">
      <c r="A282" s="18" t="s">
        <v>970</v>
      </c>
      <c r="B282" s="16" t="s">
        <v>1132</v>
      </c>
      <c r="C282" s="16" t="s">
        <v>23</v>
      </c>
      <c r="D282" s="16" t="s">
        <v>24</v>
      </c>
      <c r="E282" s="17"/>
      <c r="F282" s="17">
        <v>2</v>
      </c>
      <c r="G282" s="17"/>
      <c r="H282" s="17">
        <v>1</v>
      </c>
      <c r="I282" s="17"/>
      <c r="J282" s="17">
        <v>50</v>
      </c>
    </row>
    <row r="283" spans="1:10" ht="67.5" x14ac:dyDescent="0.2">
      <c r="A283" s="11" t="s">
        <v>972</v>
      </c>
      <c r="B283" s="12" t="s">
        <v>1133</v>
      </c>
      <c r="C283" s="12"/>
      <c r="D283" s="12"/>
      <c r="E283" s="13">
        <v>24</v>
      </c>
      <c r="F283" s="13">
        <v>170.75</v>
      </c>
      <c r="G283" s="13">
        <v>11.25</v>
      </c>
      <c r="H283" s="13">
        <v>215.143</v>
      </c>
      <c r="I283" s="13">
        <v>896.42899999999997</v>
      </c>
      <c r="J283" s="13">
        <v>125.999</v>
      </c>
    </row>
    <row r="284" spans="1:10" ht="90" x14ac:dyDescent="0.2">
      <c r="A284" s="14" t="s">
        <v>973</v>
      </c>
      <c r="B284" s="12" t="s">
        <v>1134</v>
      </c>
      <c r="C284" s="12"/>
      <c r="D284" s="12"/>
      <c r="E284" s="13">
        <v>24</v>
      </c>
      <c r="F284" s="13">
        <v>170.25</v>
      </c>
      <c r="G284" s="13">
        <v>11.25</v>
      </c>
      <c r="H284" s="13">
        <v>214.893</v>
      </c>
      <c r="I284" s="13">
        <v>895.38800000000003</v>
      </c>
      <c r="J284" s="13">
        <v>126.22199999999999</v>
      </c>
    </row>
    <row r="285" spans="1:10" ht="78.75" x14ac:dyDescent="0.2">
      <c r="A285" s="18" t="s">
        <v>973</v>
      </c>
      <c r="B285" s="16" t="s">
        <v>1135</v>
      </c>
      <c r="C285" s="16" t="s">
        <v>23</v>
      </c>
      <c r="D285" s="16" t="s">
        <v>24</v>
      </c>
      <c r="E285" s="17">
        <v>24</v>
      </c>
      <c r="F285" s="17"/>
      <c r="G285" s="17"/>
      <c r="H285" s="17"/>
      <c r="I285" s="17"/>
      <c r="J285" s="17"/>
    </row>
    <row r="286" spans="1:10" ht="112.5" x14ac:dyDescent="0.2">
      <c r="A286" s="14" t="s">
        <v>974</v>
      </c>
      <c r="B286" s="12" t="s">
        <v>1136</v>
      </c>
      <c r="C286" s="12"/>
      <c r="D286" s="12"/>
      <c r="E286" s="13"/>
      <c r="F286" s="13">
        <v>85</v>
      </c>
      <c r="G286" s="13"/>
      <c r="H286" s="13">
        <v>50</v>
      </c>
      <c r="I286" s="13"/>
      <c r="J286" s="13">
        <v>58.823999999999998</v>
      </c>
    </row>
    <row r="287" spans="1:10" ht="101.25" x14ac:dyDescent="0.2">
      <c r="A287" s="18" t="s">
        <v>974</v>
      </c>
      <c r="B287" s="16" t="s">
        <v>1137</v>
      </c>
      <c r="C287" s="16" t="s">
        <v>23</v>
      </c>
      <c r="D287" s="16" t="s">
        <v>24</v>
      </c>
      <c r="E287" s="17"/>
      <c r="F287" s="17">
        <v>85</v>
      </c>
      <c r="G287" s="17"/>
      <c r="H287" s="17">
        <v>50</v>
      </c>
      <c r="I287" s="17"/>
      <c r="J287" s="17">
        <v>58.823999999999998</v>
      </c>
    </row>
    <row r="288" spans="1:10" ht="90" x14ac:dyDescent="0.2">
      <c r="A288" s="14" t="s">
        <v>976</v>
      </c>
      <c r="B288" s="12" t="s">
        <v>1138</v>
      </c>
      <c r="C288" s="12"/>
      <c r="D288" s="12"/>
      <c r="E288" s="13"/>
      <c r="F288" s="13">
        <v>85.25</v>
      </c>
      <c r="G288" s="13">
        <v>11.25</v>
      </c>
      <c r="H288" s="13">
        <v>164.893</v>
      </c>
      <c r="I288" s="13"/>
      <c r="J288" s="13">
        <v>193.423</v>
      </c>
    </row>
    <row r="289" spans="1:10" ht="236.25" x14ac:dyDescent="0.2">
      <c r="A289" s="14" t="s">
        <v>975</v>
      </c>
      <c r="B289" s="12" t="s">
        <v>1139</v>
      </c>
      <c r="C289" s="12"/>
      <c r="D289" s="12"/>
      <c r="E289" s="13"/>
      <c r="F289" s="13">
        <v>14.5</v>
      </c>
      <c r="G289" s="13"/>
      <c r="H289" s="13">
        <v>7.75</v>
      </c>
      <c r="I289" s="13"/>
      <c r="J289" s="13">
        <v>53.448</v>
      </c>
    </row>
    <row r="290" spans="1:10" ht="213.75" x14ac:dyDescent="0.2">
      <c r="A290" s="18" t="s">
        <v>975</v>
      </c>
      <c r="B290" s="16" t="s">
        <v>1140</v>
      </c>
      <c r="C290" s="16" t="s">
        <v>23</v>
      </c>
      <c r="D290" s="16" t="s">
        <v>24</v>
      </c>
      <c r="E290" s="17"/>
      <c r="F290" s="17">
        <v>14.5</v>
      </c>
      <c r="G290" s="17"/>
      <c r="H290" s="17">
        <v>7.75</v>
      </c>
      <c r="I290" s="17"/>
      <c r="J290" s="17">
        <v>53.448</v>
      </c>
    </row>
    <row r="291" spans="1:10" ht="78.75" x14ac:dyDescent="0.2">
      <c r="A291" s="18" t="s">
        <v>976</v>
      </c>
      <c r="B291" s="16" t="s">
        <v>1141</v>
      </c>
      <c r="C291" s="16" t="s">
        <v>23</v>
      </c>
      <c r="D291" s="16" t="s">
        <v>24</v>
      </c>
      <c r="E291" s="17"/>
      <c r="F291" s="17">
        <v>4.25</v>
      </c>
      <c r="G291" s="17">
        <v>0.75</v>
      </c>
      <c r="H291" s="17">
        <v>3.5</v>
      </c>
      <c r="I291" s="17"/>
      <c r="J291" s="17">
        <v>82.352999999999994</v>
      </c>
    </row>
    <row r="292" spans="1:10" ht="78.75" x14ac:dyDescent="0.2">
      <c r="A292" s="18" t="s">
        <v>976</v>
      </c>
      <c r="B292" s="16" t="s">
        <v>1142</v>
      </c>
      <c r="C292" s="16" t="s">
        <v>23</v>
      </c>
      <c r="D292" s="16" t="s">
        <v>24</v>
      </c>
      <c r="E292" s="17"/>
      <c r="F292" s="17">
        <v>66.5</v>
      </c>
      <c r="G292" s="17">
        <v>10.5</v>
      </c>
      <c r="H292" s="17">
        <v>153.643</v>
      </c>
      <c r="I292" s="17"/>
      <c r="J292" s="17">
        <v>231.042</v>
      </c>
    </row>
    <row r="293" spans="1:10" ht="101.25" x14ac:dyDescent="0.2">
      <c r="A293" s="14" t="s">
        <v>977</v>
      </c>
      <c r="B293" s="12" t="s">
        <v>1143</v>
      </c>
      <c r="C293" s="12"/>
      <c r="D293" s="12"/>
      <c r="E293" s="13"/>
      <c r="F293" s="13">
        <v>0.5</v>
      </c>
      <c r="G293" s="13"/>
      <c r="H293" s="13">
        <v>0.25</v>
      </c>
      <c r="I293" s="13"/>
      <c r="J293" s="13">
        <v>50</v>
      </c>
    </row>
    <row r="294" spans="1:10" ht="90" x14ac:dyDescent="0.2">
      <c r="A294" s="18" t="s">
        <v>977</v>
      </c>
      <c r="B294" s="16" t="s">
        <v>1144</v>
      </c>
      <c r="C294" s="16" t="s">
        <v>23</v>
      </c>
      <c r="D294" s="16" t="s">
        <v>24</v>
      </c>
      <c r="E294" s="17"/>
      <c r="F294" s="17">
        <v>0.5</v>
      </c>
      <c r="G294" s="17"/>
      <c r="H294" s="17">
        <v>0.25</v>
      </c>
      <c r="I294" s="17"/>
      <c r="J294" s="17">
        <v>50</v>
      </c>
    </row>
    <row r="295" spans="1:10" ht="101.25" x14ac:dyDescent="0.2">
      <c r="A295" s="14" t="s">
        <v>981</v>
      </c>
      <c r="B295" s="12" t="s">
        <v>1145</v>
      </c>
      <c r="C295" s="12"/>
      <c r="D295" s="12"/>
      <c r="E295" s="13"/>
      <c r="F295" s="13">
        <v>12.090999999999999</v>
      </c>
      <c r="G295" s="13">
        <v>1.806</v>
      </c>
      <c r="H295" s="13">
        <v>18.556000000000001</v>
      </c>
      <c r="I295" s="13"/>
      <c r="J295" s="13">
        <v>153.47</v>
      </c>
    </row>
    <row r="296" spans="1:10" ht="45" x14ac:dyDescent="0.2">
      <c r="A296" s="11" t="s">
        <v>982</v>
      </c>
      <c r="B296" s="12" t="s">
        <v>1146</v>
      </c>
      <c r="C296" s="12"/>
      <c r="D296" s="12"/>
      <c r="E296" s="13"/>
      <c r="F296" s="13">
        <v>12.090999999999999</v>
      </c>
      <c r="G296" s="13">
        <v>1.806</v>
      </c>
      <c r="H296" s="13">
        <v>18.556000000000001</v>
      </c>
      <c r="I296" s="13"/>
      <c r="J296" s="13">
        <v>153.47</v>
      </c>
    </row>
    <row r="297" spans="1:10" ht="67.5" x14ac:dyDescent="0.2">
      <c r="A297" s="11" t="s">
        <v>984</v>
      </c>
      <c r="B297" s="12" t="s">
        <v>1147</v>
      </c>
      <c r="C297" s="12"/>
      <c r="D297" s="12"/>
      <c r="E297" s="13"/>
      <c r="F297" s="13">
        <v>12.090999999999999</v>
      </c>
      <c r="G297" s="13">
        <v>1.806</v>
      </c>
      <c r="H297" s="13">
        <v>18.556000000000001</v>
      </c>
      <c r="I297" s="13"/>
      <c r="J297" s="13">
        <v>153.47</v>
      </c>
    </row>
    <row r="298" spans="1:10" ht="67.5" x14ac:dyDescent="0.2">
      <c r="A298" s="15" t="s">
        <v>984</v>
      </c>
      <c r="B298" s="16" t="s">
        <v>1148</v>
      </c>
      <c r="C298" s="16" t="s">
        <v>23</v>
      </c>
      <c r="D298" s="16" t="s">
        <v>24</v>
      </c>
      <c r="E298" s="17"/>
      <c r="F298" s="17">
        <v>12.090999999999999</v>
      </c>
      <c r="G298" s="17">
        <v>1.806</v>
      </c>
      <c r="H298" s="17">
        <v>18.556000000000001</v>
      </c>
      <c r="I298" s="17"/>
      <c r="J298" s="17">
        <v>153.47</v>
      </c>
    </row>
    <row r="299" spans="1:10" ht="22.5" x14ac:dyDescent="0.2">
      <c r="A299" s="11" t="s">
        <v>986</v>
      </c>
      <c r="B299" s="12" t="s">
        <v>1149</v>
      </c>
      <c r="C299" s="12"/>
      <c r="D299" s="12"/>
      <c r="E299" s="13"/>
      <c r="F299" s="13">
        <v>2084.6529999999998</v>
      </c>
      <c r="G299" s="13">
        <v>97.94</v>
      </c>
      <c r="H299" s="13">
        <v>1748.3820000000001</v>
      </c>
      <c r="I299" s="13"/>
      <c r="J299" s="13">
        <v>83.869</v>
      </c>
    </row>
    <row r="300" spans="1:10" ht="67.5" x14ac:dyDescent="0.2">
      <c r="A300" s="11" t="s">
        <v>1150</v>
      </c>
      <c r="B300" s="12" t="s">
        <v>1151</v>
      </c>
      <c r="C300" s="12"/>
      <c r="D300" s="12"/>
      <c r="E300" s="13"/>
      <c r="F300" s="13">
        <v>2084.6529999999998</v>
      </c>
      <c r="G300" s="13">
        <v>97.94</v>
      </c>
      <c r="H300" s="13">
        <v>1748.3820000000001</v>
      </c>
      <c r="I300" s="13"/>
      <c r="J300" s="13">
        <v>83.869</v>
      </c>
    </row>
    <row r="301" spans="1:10" ht="56.25" x14ac:dyDescent="0.2">
      <c r="A301" s="11" t="s">
        <v>987</v>
      </c>
      <c r="B301" s="12" t="s">
        <v>1152</v>
      </c>
      <c r="C301" s="12"/>
      <c r="D301" s="12"/>
      <c r="E301" s="13"/>
      <c r="F301" s="13">
        <v>2017.403</v>
      </c>
      <c r="G301" s="13">
        <v>94.959000000000003</v>
      </c>
      <c r="H301" s="13">
        <v>1702.191</v>
      </c>
      <c r="I301" s="13"/>
      <c r="J301" s="13">
        <v>84.375</v>
      </c>
    </row>
    <row r="302" spans="1:10" ht="123.75" x14ac:dyDescent="0.2">
      <c r="A302" s="14" t="s">
        <v>989</v>
      </c>
      <c r="B302" s="12" t="s">
        <v>1153</v>
      </c>
      <c r="C302" s="12"/>
      <c r="D302" s="12"/>
      <c r="E302" s="13"/>
      <c r="F302" s="13">
        <v>1987.501</v>
      </c>
      <c r="G302" s="13">
        <v>89.959000000000003</v>
      </c>
      <c r="H302" s="13">
        <v>1679.9760000000001</v>
      </c>
      <c r="I302" s="13"/>
      <c r="J302" s="13">
        <v>84.527000000000001</v>
      </c>
    </row>
    <row r="303" spans="1:10" ht="123.75" x14ac:dyDescent="0.2">
      <c r="A303" s="18" t="s">
        <v>989</v>
      </c>
      <c r="B303" s="16" t="s">
        <v>1154</v>
      </c>
      <c r="C303" s="16" t="s">
        <v>23</v>
      </c>
      <c r="D303" s="16" t="s">
        <v>24</v>
      </c>
      <c r="E303" s="17"/>
      <c r="F303" s="17">
        <v>143.905</v>
      </c>
      <c r="G303" s="17">
        <v>4.01</v>
      </c>
      <c r="H303" s="17">
        <v>91.95</v>
      </c>
      <c r="I303" s="17"/>
      <c r="J303" s="17">
        <v>63.896000000000001</v>
      </c>
    </row>
    <row r="304" spans="1:10" ht="123.75" x14ac:dyDescent="0.2">
      <c r="A304" s="18" t="s">
        <v>989</v>
      </c>
      <c r="B304" s="16" t="s">
        <v>1155</v>
      </c>
      <c r="C304" s="16" t="s">
        <v>23</v>
      </c>
      <c r="D304" s="16" t="s">
        <v>24</v>
      </c>
      <c r="E304" s="17"/>
      <c r="F304" s="17">
        <v>150</v>
      </c>
      <c r="G304" s="17">
        <v>20</v>
      </c>
      <c r="H304" s="17">
        <v>120</v>
      </c>
      <c r="I304" s="17"/>
      <c r="J304" s="17">
        <v>80</v>
      </c>
    </row>
    <row r="305" spans="1:10" ht="123.75" x14ac:dyDescent="0.2">
      <c r="A305" s="18" t="s">
        <v>989</v>
      </c>
      <c r="B305" s="16" t="s">
        <v>1156</v>
      </c>
      <c r="C305" s="16" t="s">
        <v>23</v>
      </c>
      <c r="D305" s="16" t="s">
        <v>24</v>
      </c>
      <c r="E305" s="17"/>
      <c r="F305" s="17">
        <v>9.3000000000000007</v>
      </c>
      <c r="G305" s="17">
        <v>-1.3</v>
      </c>
      <c r="H305" s="17">
        <v>4</v>
      </c>
      <c r="I305" s="17"/>
      <c r="J305" s="17">
        <v>43.011000000000003</v>
      </c>
    </row>
    <row r="306" spans="1:10" ht="123.75" x14ac:dyDescent="0.2">
      <c r="A306" s="18" t="s">
        <v>989</v>
      </c>
      <c r="B306" s="16" t="s">
        <v>1157</v>
      </c>
      <c r="C306" s="16" t="s">
        <v>23</v>
      </c>
      <c r="D306" s="16" t="s">
        <v>24</v>
      </c>
      <c r="E306" s="17"/>
      <c r="F306" s="17">
        <v>513.33600000000001</v>
      </c>
      <c r="G306" s="17">
        <v>20.164000000000001</v>
      </c>
      <c r="H306" s="17">
        <v>457.32299999999998</v>
      </c>
      <c r="I306" s="17"/>
      <c r="J306" s="17">
        <v>89.087999999999994</v>
      </c>
    </row>
    <row r="307" spans="1:10" ht="123.75" x14ac:dyDescent="0.2">
      <c r="A307" s="18" t="s">
        <v>989</v>
      </c>
      <c r="B307" s="16" t="s">
        <v>1158</v>
      </c>
      <c r="C307" s="16" t="s">
        <v>23</v>
      </c>
      <c r="D307" s="16" t="s">
        <v>24</v>
      </c>
      <c r="E307" s="17"/>
      <c r="F307" s="17">
        <v>114.858</v>
      </c>
      <c r="G307" s="17">
        <v>0.189</v>
      </c>
      <c r="H307" s="17">
        <v>72.253</v>
      </c>
      <c r="I307" s="17"/>
      <c r="J307" s="17">
        <v>62.905999999999999</v>
      </c>
    </row>
    <row r="308" spans="1:10" ht="123.75" x14ac:dyDescent="0.2">
      <c r="A308" s="18" t="s">
        <v>989</v>
      </c>
      <c r="B308" s="16" t="s">
        <v>1159</v>
      </c>
      <c r="C308" s="16" t="s">
        <v>23</v>
      </c>
      <c r="D308" s="16" t="s">
        <v>24</v>
      </c>
      <c r="E308" s="17"/>
      <c r="F308" s="17">
        <v>1056.1020000000001</v>
      </c>
      <c r="G308" s="17">
        <v>46.895000000000003</v>
      </c>
      <c r="H308" s="17">
        <v>934.45</v>
      </c>
      <c r="I308" s="17"/>
      <c r="J308" s="17">
        <v>88.480999999999995</v>
      </c>
    </row>
    <row r="309" spans="1:10" ht="101.25" x14ac:dyDescent="0.2">
      <c r="A309" s="14" t="s">
        <v>990</v>
      </c>
      <c r="B309" s="12" t="s">
        <v>1160</v>
      </c>
      <c r="C309" s="12"/>
      <c r="D309" s="12"/>
      <c r="E309" s="13"/>
      <c r="F309" s="13">
        <v>32.902000000000001</v>
      </c>
      <c r="G309" s="13"/>
      <c r="H309" s="13">
        <v>19.215</v>
      </c>
      <c r="I309" s="13"/>
      <c r="J309" s="13">
        <v>58.401000000000003</v>
      </c>
    </row>
    <row r="310" spans="1:10" ht="90" x14ac:dyDescent="0.2">
      <c r="A310" s="18" t="s">
        <v>990</v>
      </c>
      <c r="B310" s="16" t="s">
        <v>1161</v>
      </c>
      <c r="C310" s="16" t="s">
        <v>23</v>
      </c>
      <c r="D310" s="16" t="s">
        <v>24</v>
      </c>
      <c r="E310" s="17"/>
      <c r="F310" s="17">
        <v>32.902000000000001</v>
      </c>
      <c r="G310" s="17"/>
      <c r="H310" s="17">
        <v>19.215</v>
      </c>
      <c r="I310" s="17"/>
      <c r="J310" s="17">
        <v>58.401000000000003</v>
      </c>
    </row>
    <row r="311" spans="1:10" ht="90" x14ac:dyDescent="0.2">
      <c r="A311" s="14" t="s">
        <v>991</v>
      </c>
      <c r="B311" s="12" t="s">
        <v>1162</v>
      </c>
      <c r="C311" s="12"/>
      <c r="D311" s="12"/>
      <c r="E311" s="13"/>
      <c r="F311" s="13">
        <v>-8</v>
      </c>
      <c r="G311" s="13"/>
      <c r="H311" s="13">
        <v>-5</v>
      </c>
      <c r="I311" s="13"/>
      <c r="J311" s="13">
        <v>62.5</v>
      </c>
    </row>
    <row r="312" spans="1:10" ht="90" x14ac:dyDescent="0.2">
      <c r="A312" s="18" t="s">
        <v>991</v>
      </c>
      <c r="B312" s="16" t="s">
        <v>1163</v>
      </c>
      <c r="C312" s="16" t="s">
        <v>23</v>
      </c>
      <c r="D312" s="16" t="s">
        <v>24</v>
      </c>
      <c r="E312" s="17"/>
      <c r="F312" s="17">
        <v>-8</v>
      </c>
      <c r="G312" s="17"/>
      <c r="H312" s="17">
        <v>-5</v>
      </c>
      <c r="I312" s="17"/>
      <c r="J312" s="17">
        <v>62.5</v>
      </c>
    </row>
    <row r="313" spans="1:10" ht="101.25" x14ac:dyDescent="0.2">
      <c r="A313" s="14" t="s">
        <v>992</v>
      </c>
      <c r="B313" s="12" t="s">
        <v>1164</v>
      </c>
      <c r="C313" s="12"/>
      <c r="D313" s="12"/>
      <c r="E313" s="13"/>
      <c r="F313" s="13">
        <v>5</v>
      </c>
      <c r="G313" s="13">
        <v>5</v>
      </c>
      <c r="H313" s="13">
        <v>8</v>
      </c>
      <c r="I313" s="13"/>
      <c r="J313" s="13">
        <v>160</v>
      </c>
    </row>
    <row r="314" spans="1:10" ht="90" x14ac:dyDescent="0.2">
      <c r="A314" s="18" t="s">
        <v>992</v>
      </c>
      <c r="B314" s="16" t="s">
        <v>1165</v>
      </c>
      <c r="C314" s="16" t="s">
        <v>23</v>
      </c>
      <c r="D314" s="16" t="s">
        <v>24</v>
      </c>
      <c r="E314" s="17"/>
      <c r="F314" s="17">
        <v>5</v>
      </c>
      <c r="G314" s="17">
        <v>5</v>
      </c>
      <c r="H314" s="17">
        <v>8</v>
      </c>
      <c r="I314" s="17"/>
      <c r="J314" s="17">
        <v>160</v>
      </c>
    </row>
    <row r="315" spans="1:10" ht="67.5" x14ac:dyDescent="0.2">
      <c r="A315" s="11" t="s">
        <v>993</v>
      </c>
      <c r="B315" s="12" t="s">
        <v>1166</v>
      </c>
      <c r="C315" s="12"/>
      <c r="D315" s="12"/>
      <c r="E315" s="13"/>
      <c r="F315" s="13">
        <v>67.25</v>
      </c>
      <c r="G315" s="13">
        <v>2.9809999999999999</v>
      </c>
      <c r="H315" s="13">
        <v>46.191000000000003</v>
      </c>
      <c r="I315" s="13"/>
      <c r="J315" s="13">
        <v>68.686000000000007</v>
      </c>
    </row>
    <row r="316" spans="1:10" ht="67.5" x14ac:dyDescent="0.2">
      <c r="A316" s="15" t="s">
        <v>993</v>
      </c>
      <c r="B316" s="16" t="s">
        <v>1167</v>
      </c>
      <c r="C316" s="16" t="s">
        <v>23</v>
      </c>
      <c r="D316" s="16" t="s">
        <v>24</v>
      </c>
      <c r="E316" s="17"/>
      <c r="F316" s="17">
        <v>67.25</v>
      </c>
      <c r="G316" s="17">
        <v>2.9809999999999999</v>
      </c>
      <c r="H316" s="17">
        <v>46.191000000000003</v>
      </c>
      <c r="I316" s="17"/>
      <c r="J316" s="17">
        <v>68.686000000000007</v>
      </c>
    </row>
    <row r="317" spans="1:10" x14ac:dyDescent="0.2">
      <c r="A317" s="11" t="s">
        <v>1004</v>
      </c>
      <c r="B317" s="12" t="s">
        <v>1168</v>
      </c>
      <c r="C317" s="12"/>
      <c r="D317" s="12"/>
      <c r="E317" s="13"/>
      <c r="F317" s="13">
        <v>1586.067</v>
      </c>
      <c r="G317" s="13">
        <v>519.22400000000005</v>
      </c>
      <c r="H317" s="13">
        <v>2307.962</v>
      </c>
      <c r="I317" s="13"/>
      <c r="J317" s="13">
        <v>145.51499999999999</v>
      </c>
    </row>
    <row r="318" spans="1:10" ht="90" x14ac:dyDescent="0.2">
      <c r="A318" s="14" t="s">
        <v>1003</v>
      </c>
      <c r="B318" s="12" t="s">
        <v>1169</v>
      </c>
      <c r="C318" s="12"/>
      <c r="D318" s="12"/>
      <c r="E318" s="13"/>
      <c r="F318" s="13">
        <v>1586.067</v>
      </c>
      <c r="G318" s="13">
        <v>519.22400000000005</v>
      </c>
      <c r="H318" s="13">
        <v>2307.962</v>
      </c>
      <c r="I318" s="13"/>
      <c r="J318" s="13">
        <v>145.51499999999999</v>
      </c>
    </row>
    <row r="319" spans="1:10" ht="78.75" x14ac:dyDescent="0.2">
      <c r="A319" s="18" t="s">
        <v>1003</v>
      </c>
      <c r="B319" s="16" t="s">
        <v>1170</v>
      </c>
      <c r="C319" s="16" t="s">
        <v>23</v>
      </c>
      <c r="D319" s="16" t="s">
        <v>24</v>
      </c>
      <c r="E319" s="17"/>
      <c r="F319" s="17">
        <v>372.69200000000001</v>
      </c>
      <c r="G319" s="17">
        <v>402.2</v>
      </c>
      <c r="H319" s="17">
        <v>874.89200000000005</v>
      </c>
      <c r="I319" s="17"/>
      <c r="J319" s="17">
        <v>234.749</v>
      </c>
    </row>
    <row r="320" spans="1:10" ht="112.5" x14ac:dyDescent="0.2">
      <c r="A320" s="14" t="s">
        <v>1006</v>
      </c>
      <c r="B320" s="12" t="s">
        <v>1171</v>
      </c>
      <c r="C320" s="12"/>
      <c r="D320" s="12"/>
      <c r="E320" s="13"/>
      <c r="F320" s="13"/>
      <c r="G320" s="13">
        <v>72.563999999999993</v>
      </c>
      <c r="H320" s="13">
        <v>72.563999999999993</v>
      </c>
      <c r="I320" s="13"/>
      <c r="J320" s="13"/>
    </row>
    <row r="321" spans="1:12" ht="90" x14ac:dyDescent="0.2">
      <c r="A321" s="18" t="s">
        <v>1006</v>
      </c>
      <c r="B321" s="16" t="s">
        <v>1172</v>
      </c>
      <c r="C321" s="16" t="s">
        <v>23</v>
      </c>
      <c r="D321" s="16" t="s">
        <v>24</v>
      </c>
      <c r="E321" s="17"/>
      <c r="F321" s="17"/>
      <c r="G321" s="17">
        <v>72.563999999999993</v>
      </c>
      <c r="H321" s="17">
        <v>72.563999999999993</v>
      </c>
      <c r="I321" s="17"/>
      <c r="J321" s="17"/>
    </row>
    <row r="322" spans="1:12" ht="112.5" x14ac:dyDescent="0.2">
      <c r="A322" s="14" t="s">
        <v>1007</v>
      </c>
      <c r="B322" s="12" t="s">
        <v>1173</v>
      </c>
      <c r="C322" s="12"/>
      <c r="D322" s="12"/>
      <c r="E322" s="13"/>
      <c r="F322" s="13">
        <v>1213.375</v>
      </c>
      <c r="G322" s="13">
        <v>31.96</v>
      </c>
      <c r="H322" s="13">
        <v>1348.0060000000001</v>
      </c>
      <c r="I322" s="13"/>
      <c r="J322" s="13">
        <v>111.096</v>
      </c>
    </row>
    <row r="323" spans="1:12" ht="101.25" x14ac:dyDescent="0.2">
      <c r="A323" s="18" t="s">
        <v>1007</v>
      </c>
      <c r="B323" s="16" t="s">
        <v>1174</v>
      </c>
      <c r="C323" s="16" t="s">
        <v>23</v>
      </c>
      <c r="D323" s="16" t="s">
        <v>24</v>
      </c>
      <c r="E323" s="17"/>
      <c r="F323" s="17">
        <v>1213.375</v>
      </c>
      <c r="G323" s="17">
        <v>31.96</v>
      </c>
      <c r="H323" s="17">
        <v>1348.0060000000001</v>
      </c>
      <c r="I323" s="17"/>
      <c r="J323" s="17">
        <v>111.096</v>
      </c>
    </row>
    <row r="324" spans="1:12" ht="90" x14ac:dyDescent="0.2">
      <c r="A324" s="14" t="s">
        <v>1008</v>
      </c>
      <c r="B324" s="12" t="s">
        <v>1175</v>
      </c>
      <c r="C324" s="12"/>
      <c r="D324" s="12"/>
      <c r="E324" s="13"/>
      <c r="F324" s="13"/>
      <c r="G324" s="13">
        <v>12.5</v>
      </c>
      <c r="H324" s="13">
        <v>12.5</v>
      </c>
      <c r="I324" s="13"/>
      <c r="J324" s="13"/>
    </row>
    <row r="325" spans="1:12" ht="78.75" x14ac:dyDescent="0.2">
      <c r="A325" s="18" t="s">
        <v>1008</v>
      </c>
      <c r="B325" s="16" t="s">
        <v>1176</v>
      </c>
      <c r="C325" s="16" t="s">
        <v>23</v>
      </c>
      <c r="D325" s="16" t="s">
        <v>24</v>
      </c>
      <c r="E325" s="17"/>
      <c r="F325" s="17"/>
      <c r="G325" s="17">
        <v>12.5</v>
      </c>
      <c r="H325" s="17">
        <v>12.5</v>
      </c>
      <c r="I325" s="17"/>
      <c r="J325" s="17"/>
    </row>
    <row r="326" spans="1:12" ht="36.950000000000003" customHeight="1" x14ac:dyDescent="0.2">
      <c r="A326" s="25" t="s">
        <v>307</v>
      </c>
      <c r="B326" s="26" t="s">
        <v>308</v>
      </c>
      <c r="C326" s="26"/>
      <c r="D326" s="26"/>
      <c r="E326" s="19">
        <v>30</v>
      </c>
      <c r="F326" s="19">
        <v>100</v>
      </c>
      <c r="G326" s="223">
        <v>40.405000000000001</v>
      </c>
      <c r="H326" s="19">
        <v>365.423</v>
      </c>
      <c r="I326" s="19">
        <v>1218.077</v>
      </c>
      <c r="J326" s="19">
        <v>365.423</v>
      </c>
      <c r="K326" s="224"/>
      <c r="L326" s="20"/>
    </row>
    <row r="327" spans="1:12" x14ac:dyDescent="0.2">
      <c r="A327" s="11" t="s">
        <v>483</v>
      </c>
      <c r="B327" s="12" t="s">
        <v>484</v>
      </c>
      <c r="C327" s="12"/>
      <c r="D327" s="12"/>
      <c r="E327" s="13"/>
      <c r="F327" s="13"/>
      <c r="G327" s="13">
        <v>40.405000000000001</v>
      </c>
      <c r="H327" s="13">
        <v>22.32</v>
      </c>
      <c r="I327" s="13"/>
      <c r="J327" s="13"/>
    </row>
    <row r="328" spans="1:12" ht="22.5" x14ac:dyDescent="0.2">
      <c r="A328" s="11" t="s">
        <v>428</v>
      </c>
      <c r="B328" s="12" t="s">
        <v>429</v>
      </c>
      <c r="C328" s="12"/>
      <c r="D328" s="12"/>
      <c r="E328" s="13"/>
      <c r="F328" s="13"/>
      <c r="G328" s="13">
        <v>40.405000000000001</v>
      </c>
      <c r="H328" s="13">
        <v>22.32</v>
      </c>
      <c r="I328" s="13"/>
      <c r="J328" s="13"/>
    </row>
    <row r="329" spans="1:12" ht="22.5" x14ac:dyDescent="0.2">
      <c r="A329" s="15" t="s">
        <v>428</v>
      </c>
      <c r="B329" s="16" t="s">
        <v>758</v>
      </c>
      <c r="C329" s="16" t="s">
        <v>23</v>
      </c>
      <c r="D329" s="16" t="s">
        <v>24</v>
      </c>
      <c r="E329" s="17"/>
      <c r="F329" s="17"/>
      <c r="G329" s="17"/>
      <c r="H329" s="17">
        <v>-12.677</v>
      </c>
      <c r="I329" s="17"/>
      <c r="J329" s="17"/>
    </row>
    <row r="330" spans="1:12" ht="22.5" x14ac:dyDescent="0.2">
      <c r="A330" s="15" t="s">
        <v>428</v>
      </c>
      <c r="B330" s="16" t="s">
        <v>430</v>
      </c>
      <c r="C330" s="16" t="s">
        <v>23</v>
      </c>
      <c r="D330" s="16" t="s">
        <v>24</v>
      </c>
      <c r="E330" s="17"/>
      <c r="F330" s="17"/>
      <c r="G330" s="17">
        <v>40.405000000000001</v>
      </c>
      <c r="H330" s="17">
        <v>34.997</v>
      </c>
      <c r="I330" s="17"/>
      <c r="J330" s="17"/>
    </row>
    <row r="331" spans="1:12" x14ac:dyDescent="0.2">
      <c r="A331" s="11" t="s">
        <v>309</v>
      </c>
      <c r="B331" s="12" t="s">
        <v>310</v>
      </c>
      <c r="C331" s="12"/>
      <c r="D331" s="12"/>
      <c r="E331" s="13">
        <v>30</v>
      </c>
      <c r="F331" s="13">
        <v>100</v>
      </c>
      <c r="G331" s="13"/>
      <c r="H331" s="13">
        <v>343.10300000000001</v>
      </c>
      <c r="I331" s="13">
        <v>1143.6769999999999</v>
      </c>
      <c r="J331" s="13">
        <v>343.10300000000001</v>
      </c>
    </row>
    <row r="332" spans="1:12" ht="22.5" x14ac:dyDescent="0.2">
      <c r="A332" s="11" t="s">
        <v>311</v>
      </c>
      <c r="B332" s="12" t="s">
        <v>312</v>
      </c>
      <c r="C332" s="12"/>
      <c r="D332" s="12"/>
      <c r="E332" s="13">
        <v>30</v>
      </c>
      <c r="F332" s="13">
        <v>100</v>
      </c>
      <c r="G332" s="13"/>
      <c r="H332" s="13">
        <v>343.10300000000001</v>
      </c>
      <c r="I332" s="13">
        <v>1143.6769999999999</v>
      </c>
      <c r="J332" s="13">
        <v>343.10300000000001</v>
      </c>
    </row>
    <row r="333" spans="1:12" ht="22.5" x14ac:dyDescent="0.2">
      <c r="A333" s="15" t="s">
        <v>311</v>
      </c>
      <c r="B333" s="16" t="s">
        <v>759</v>
      </c>
      <c r="C333" s="16" t="s">
        <v>23</v>
      </c>
      <c r="D333" s="16" t="s">
        <v>24</v>
      </c>
      <c r="E333" s="17"/>
      <c r="F333" s="17"/>
      <c r="G333" s="17"/>
      <c r="H333" s="17">
        <v>159.60900000000001</v>
      </c>
      <c r="I333" s="17"/>
      <c r="J333" s="17"/>
    </row>
    <row r="334" spans="1:12" ht="22.5" x14ac:dyDescent="0.2">
      <c r="A334" s="15" t="s">
        <v>311</v>
      </c>
      <c r="B334" s="16" t="s">
        <v>313</v>
      </c>
      <c r="C334" s="16" t="s">
        <v>23</v>
      </c>
      <c r="D334" s="16" t="s">
        <v>24</v>
      </c>
      <c r="E334" s="17">
        <v>30</v>
      </c>
      <c r="F334" s="17">
        <v>100</v>
      </c>
      <c r="G334" s="17"/>
      <c r="H334" s="17">
        <v>183.494</v>
      </c>
      <c r="I334" s="17">
        <v>611.64700000000005</v>
      </c>
      <c r="J334" s="17">
        <v>183.494</v>
      </c>
    </row>
    <row r="335" spans="1:12" ht="28.15" customHeight="1" x14ac:dyDescent="0.2">
      <c r="A335" s="25" t="s">
        <v>314</v>
      </c>
      <c r="B335" s="26" t="s">
        <v>315</v>
      </c>
      <c r="C335" s="26"/>
      <c r="D335" s="26"/>
      <c r="E335" s="19">
        <v>2019747.932</v>
      </c>
      <c r="F335" s="19">
        <v>1998109.4</v>
      </c>
      <c r="G335" s="223">
        <v>140735.91699999999</v>
      </c>
      <c r="H335" s="19">
        <v>1291389.3289999999</v>
      </c>
      <c r="I335" s="19">
        <v>63.938000000000002</v>
      </c>
      <c r="J335" s="19">
        <v>64.631</v>
      </c>
      <c r="K335" s="224"/>
      <c r="L335" s="20"/>
    </row>
    <row r="336" spans="1:12" s="32" customFormat="1" ht="33.75" x14ac:dyDescent="0.2">
      <c r="A336" s="25" t="s">
        <v>316</v>
      </c>
      <c r="B336" s="26" t="s">
        <v>317</v>
      </c>
      <c r="C336" s="26"/>
      <c r="D336" s="26"/>
      <c r="E336" s="19">
        <v>2019747.932</v>
      </c>
      <c r="F336" s="19">
        <v>2000584.057</v>
      </c>
      <c r="G336" s="19">
        <v>140924.39799999999</v>
      </c>
      <c r="H336" s="19">
        <v>1294737.2930000001</v>
      </c>
      <c r="I336" s="19">
        <v>64.103999999999999</v>
      </c>
      <c r="J336" s="19">
        <v>64.718000000000004</v>
      </c>
    </row>
    <row r="337" spans="1:12" s="212" customFormat="1" ht="22.5" x14ac:dyDescent="0.2">
      <c r="A337" s="28" t="s">
        <v>318</v>
      </c>
      <c r="B337" s="29" t="s">
        <v>760</v>
      </c>
      <c r="C337" s="29"/>
      <c r="D337" s="29"/>
      <c r="E337" s="22">
        <v>4606.2</v>
      </c>
      <c r="F337" s="22">
        <v>19509.400000000001</v>
      </c>
      <c r="G337" s="22">
        <v>5734.75</v>
      </c>
      <c r="H337" s="22">
        <v>18225.650000000001</v>
      </c>
      <c r="I337" s="22">
        <v>395.67700000000002</v>
      </c>
      <c r="J337" s="22">
        <v>93.42</v>
      </c>
      <c r="K337" s="216">
        <f>G337+G344+G378+G414</f>
        <v>139465.87</v>
      </c>
      <c r="L337" s="216">
        <f>H337+H344+H378+H414</f>
        <v>1283318.2220000001</v>
      </c>
    </row>
    <row r="338" spans="1:12" ht="22.5" x14ac:dyDescent="0.2">
      <c r="A338" s="11" t="s">
        <v>600</v>
      </c>
      <c r="B338" s="12" t="s">
        <v>761</v>
      </c>
      <c r="C338" s="12"/>
      <c r="D338" s="12"/>
      <c r="E338" s="13">
        <v>4606.2</v>
      </c>
      <c r="F338" s="13">
        <v>4606.2</v>
      </c>
      <c r="G338" s="13">
        <v>383.75</v>
      </c>
      <c r="H338" s="13">
        <v>3454.65</v>
      </c>
      <c r="I338" s="13">
        <v>75</v>
      </c>
      <c r="J338" s="13">
        <v>75</v>
      </c>
    </row>
    <row r="339" spans="1:12" ht="33.75" x14ac:dyDescent="0.2">
      <c r="A339" s="11" t="s">
        <v>1177</v>
      </c>
      <c r="B339" s="12" t="s">
        <v>762</v>
      </c>
      <c r="C339" s="12"/>
      <c r="D339" s="12"/>
      <c r="E339" s="13">
        <v>4606.2</v>
      </c>
      <c r="F339" s="13">
        <v>4606.2</v>
      </c>
      <c r="G339" s="13">
        <v>383.75</v>
      </c>
      <c r="H339" s="13">
        <v>3454.65</v>
      </c>
      <c r="I339" s="13">
        <v>75</v>
      </c>
      <c r="J339" s="13">
        <v>75</v>
      </c>
    </row>
    <row r="340" spans="1:12" ht="33.75" x14ac:dyDescent="0.2">
      <c r="A340" s="15" t="s">
        <v>1177</v>
      </c>
      <c r="B340" s="16" t="s">
        <v>763</v>
      </c>
      <c r="C340" s="16" t="s">
        <v>23</v>
      </c>
      <c r="D340" s="16" t="s">
        <v>24</v>
      </c>
      <c r="E340" s="17">
        <v>4606.2</v>
      </c>
      <c r="F340" s="17">
        <v>4606.2</v>
      </c>
      <c r="G340" s="17">
        <v>383.75</v>
      </c>
      <c r="H340" s="17">
        <v>3454.65</v>
      </c>
      <c r="I340" s="17">
        <v>75</v>
      </c>
      <c r="J340" s="17">
        <v>75</v>
      </c>
    </row>
    <row r="341" spans="1:12" ht="22.5" x14ac:dyDescent="0.2">
      <c r="A341" s="11" t="s">
        <v>319</v>
      </c>
      <c r="B341" s="12" t="s">
        <v>764</v>
      </c>
      <c r="C341" s="12"/>
      <c r="D341" s="12"/>
      <c r="E341" s="13"/>
      <c r="F341" s="13">
        <v>14903.2</v>
      </c>
      <c r="G341" s="13">
        <v>5351</v>
      </c>
      <c r="H341" s="13">
        <v>14771</v>
      </c>
      <c r="I341" s="13"/>
      <c r="J341" s="13">
        <v>99.113</v>
      </c>
    </row>
    <row r="342" spans="1:12" ht="33.75" x14ac:dyDescent="0.2">
      <c r="A342" s="11" t="s">
        <v>320</v>
      </c>
      <c r="B342" s="12" t="s">
        <v>765</v>
      </c>
      <c r="C342" s="12"/>
      <c r="D342" s="12"/>
      <c r="E342" s="13"/>
      <c r="F342" s="13">
        <v>14903.2</v>
      </c>
      <c r="G342" s="13">
        <v>5351</v>
      </c>
      <c r="H342" s="13">
        <v>14771</v>
      </c>
      <c r="I342" s="13"/>
      <c r="J342" s="13">
        <v>99.113</v>
      </c>
    </row>
    <row r="343" spans="1:12" ht="33.75" x14ac:dyDescent="0.2">
      <c r="A343" s="15" t="s">
        <v>320</v>
      </c>
      <c r="B343" s="16" t="s">
        <v>766</v>
      </c>
      <c r="C343" s="16" t="s">
        <v>23</v>
      </c>
      <c r="D343" s="16" t="s">
        <v>24</v>
      </c>
      <c r="E343" s="17"/>
      <c r="F343" s="17">
        <v>14903.2</v>
      </c>
      <c r="G343" s="17">
        <v>5351</v>
      </c>
      <c r="H343" s="17">
        <v>14771</v>
      </c>
      <c r="I343" s="17"/>
      <c r="J343" s="17">
        <v>99.113</v>
      </c>
    </row>
    <row r="344" spans="1:12" s="212" customFormat="1" ht="22.5" x14ac:dyDescent="0.2">
      <c r="A344" s="28" t="s">
        <v>321</v>
      </c>
      <c r="B344" s="29" t="s">
        <v>767</v>
      </c>
      <c r="C344" s="29"/>
      <c r="D344" s="29"/>
      <c r="E344" s="22">
        <v>753133.3</v>
      </c>
      <c r="F344" s="22">
        <v>639976.37300000002</v>
      </c>
      <c r="G344" s="22">
        <v>45170.326999999997</v>
      </c>
      <c r="H344" s="22">
        <v>316276.86599999998</v>
      </c>
      <c r="I344" s="22">
        <v>41.994999999999997</v>
      </c>
      <c r="J344" s="22">
        <v>49.42</v>
      </c>
      <c r="K344" s="216">
        <f>H344-H369-H371+H414</f>
        <v>154979.77399999998</v>
      </c>
    </row>
    <row r="345" spans="1:12" ht="33.75" x14ac:dyDescent="0.2">
      <c r="A345" s="11" t="s">
        <v>1178</v>
      </c>
      <c r="B345" s="12" t="s">
        <v>768</v>
      </c>
      <c r="C345" s="12"/>
      <c r="D345" s="12"/>
      <c r="E345" s="13">
        <v>337679.8</v>
      </c>
      <c r="F345" s="13">
        <v>215463.7</v>
      </c>
      <c r="G345" s="13">
        <v>17212.421999999999</v>
      </c>
      <c r="H345" s="13">
        <v>92207.653000000006</v>
      </c>
      <c r="I345" s="13">
        <v>27.306000000000001</v>
      </c>
      <c r="J345" s="13">
        <v>42.795000000000002</v>
      </c>
    </row>
    <row r="346" spans="1:12" ht="33.75" x14ac:dyDescent="0.2">
      <c r="A346" s="11" t="s">
        <v>488</v>
      </c>
      <c r="B346" s="12" t="s">
        <v>769</v>
      </c>
      <c r="C346" s="12"/>
      <c r="D346" s="12"/>
      <c r="E346" s="13">
        <v>337679.8</v>
      </c>
      <c r="F346" s="13">
        <v>215463.7</v>
      </c>
      <c r="G346" s="13">
        <v>17212.421999999999</v>
      </c>
      <c r="H346" s="13">
        <v>92207.653000000006</v>
      </c>
      <c r="I346" s="13">
        <v>27.306000000000001</v>
      </c>
      <c r="J346" s="13">
        <v>42.795000000000002</v>
      </c>
    </row>
    <row r="347" spans="1:12" ht="33.75" x14ac:dyDescent="0.2">
      <c r="A347" s="15" t="s">
        <v>488</v>
      </c>
      <c r="B347" s="16" t="s">
        <v>770</v>
      </c>
      <c r="C347" s="16" t="s">
        <v>771</v>
      </c>
      <c r="D347" s="16" t="s">
        <v>24</v>
      </c>
      <c r="E347" s="17">
        <v>16816.8</v>
      </c>
      <c r="F347" s="17">
        <v>16808.400000000001</v>
      </c>
      <c r="G347" s="17"/>
      <c r="H347" s="17"/>
      <c r="I347" s="17"/>
      <c r="J347" s="17"/>
    </row>
    <row r="348" spans="1:12" ht="33.75" x14ac:dyDescent="0.2">
      <c r="A348" s="15" t="s">
        <v>488</v>
      </c>
      <c r="B348" s="16" t="s">
        <v>770</v>
      </c>
      <c r="C348" s="16" t="s">
        <v>772</v>
      </c>
      <c r="D348" s="16" t="s">
        <v>24</v>
      </c>
      <c r="E348" s="17">
        <v>320863</v>
      </c>
      <c r="F348" s="17">
        <v>198655.3</v>
      </c>
      <c r="G348" s="17">
        <v>17212.421999999999</v>
      </c>
      <c r="H348" s="17">
        <v>92207.653000000006</v>
      </c>
      <c r="I348" s="17">
        <v>28.736999999999998</v>
      </c>
      <c r="J348" s="17">
        <v>46.415999999999997</v>
      </c>
    </row>
    <row r="349" spans="1:12" ht="67.5" x14ac:dyDescent="0.2">
      <c r="A349" s="11" t="s">
        <v>1179</v>
      </c>
      <c r="B349" s="12" t="s">
        <v>1180</v>
      </c>
      <c r="C349" s="12"/>
      <c r="D349" s="12"/>
      <c r="E349" s="13">
        <v>56466.6</v>
      </c>
      <c r="F349" s="13">
        <v>56466.6</v>
      </c>
      <c r="G349" s="13"/>
      <c r="H349" s="13"/>
      <c r="I349" s="13"/>
      <c r="J349" s="13"/>
    </row>
    <row r="350" spans="1:12" ht="67.5" x14ac:dyDescent="0.2">
      <c r="A350" s="11" t="s">
        <v>1181</v>
      </c>
      <c r="B350" s="12" t="s">
        <v>1182</v>
      </c>
      <c r="C350" s="12"/>
      <c r="D350" s="12"/>
      <c r="E350" s="13">
        <v>56466.6</v>
      </c>
      <c r="F350" s="13">
        <v>56466.6</v>
      </c>
      <c r="G350" s="13"/>
      <c r="H350" s="13"/>
      <c r="I350" s="13"/>
      <c r="J350" s="13"/>
    </row>
    <row r="351" spans="1:12" ht="56.25" x14ac:dyDescent="0.2">
      <c r="A351" s="15" t="s">
        <v>1181</v>
      </c>
      <c r="B351" s="16" t="s">
        <v>1183</v>
      </c>
      <c r="C351" s="16" t="s">
        <v>23</v>
      </c>
      <c r="D351" s="16" t="s">
        <v>24</v>
      </c>
      <c r="E351" s="17">
        <v>56466.6</v>
      </c>
      <c r="F351" s="17">
        <v>56466.6</v>
      </c>
      <c r="G351" s="17"/>
      <c r="H351" s="17"/>
      <c r="I351" s="17"/>
      <c r="J351" s="17"/>
    </row>
    <row r="352" spans="1:12" ht="56.25" x14ac:dyDescent="0.2">
      <c r="A352" s="11" t="s">
        <v>1184</v>
      </c>
      <c r="B352" s="12" t="s">
        <v>1185</v>
      </c>
      <c r="C352" s="12"/>
      <c r="D352" s="12"/>
      <c r="E352" s="13">
        <v>5650.5</v>
      </c>
      <c r="F352" s="13">
        <v>5650.5</v>
      </c>
      <c r="G352" s="13"/>
      <c r="H352" s="13"/>
      <c r="I352" s="13"/>
      <c r="J352" s="13"/>
    </row>
    <row r="353" spans="1:10" ht="56.25" x14ac:dyDescent="0.2">
      <c r="A353" s="11" t="s">
        <v>888</v>
      </c>
      <c r="B353" s="12" t="s">
        <v>1186</v>
      </c>
      <c r="C353" s="12"/>
      <c r="D353" s="12"/>
      <c r="E353" s="13">
        <v>5650.5</v>
      </c>
      <c r="F353" s="13">
        <v>5650.5</v>
      </c>
      <c r="G353" s="13"/>
      <c r="H353" s="13"/>
      <c r="I353" s="13"/>
      <c r="J353" s="13"/>
    </row>
    <row r="354" spans="1:10" ht="56.25" x14ac:dyDescent="0.2">
      <c r="A354" s="15" t="s">
        <v>888</v>
      </c>
      <c r="B354" s="16" t="s">
        <v>1187</v>
      </c>
      <c r="C354" s="16" t="s">
        <v>23</v>
      </c>
      <c r="D354" s="16" t="s">
        <v>24</v>
      </c>
      <c r="E354" s="17">
        <v>5650.5</v>
      </c>
      <c r="F354" s="17">
        <v>5650.5</v>
      </c>
      <c r="G354" s="17"/>
      <c r="H354" s="17"/>
      <c r="I354" s="17"/>
      <c r="J354" s="17"/>
    </row>
    <row r="355" spans="1:10" ht="22.5" x14ac:dyDescent="0.2">
      <c r="A355" s="11" t="s">
        <v>601</v>
      </c>
      <c r="B355" s="12" t="s">
        <v>773</v>
      </c>
      <c r="C355" s="12"/>
      <c r="D355" s="12"/>
      <c r="E355" s="13"/>
      <c r="F355" s="13">
        <v>9954.7579999999998</v>
      </c>
      <c r="G355" s="13"/>
      <c r="H355" s="13">
        <v>9954.7579999999998</v>
      </c>
      <c r="I355" s="13"/>
      <c r="J355" s="13">
        <v>100</v>
      </c>
    </row>
    <row r="356" spans="1:10" ht="33.75" x14ac:dyDescent="0.2">
      <c r="A356" s="11" t="s">
        <v>602</v>
      </c>
      <c r="B356" s="12" t="s">
        <v>774</v>
      </c>
      <c r="C356" s="12"/>
      <c r="D356" s="12"/>
      <c r="E356" s="13"/>
      <c r="F356" s="13">
        <v>9954.7579999999998</v>
      </c>
      <c r="G356" s="13"/>
      <c r="H356" s="13">
        <v>9954.7579999999998</v>
      </c>
      <c r="I356" s="13"/>
      <c r="J356" s="13">
        <v>100</v>
      </c>
    </row>
    <row r="357" spans="1:10" ht="33.75" x14ac:dyDescent="0.2">
      <c r="A357" s="15" t="s">
        <v>602</v>
      </c>
      <c r="B357" s="16" t="s">
        <v>775</v>
      </c>
      <c r="C357" s="16" t="s">
        <v>23</v>
      </c>
      <c r="D357" s="16" t="s">
        <v>24</v>
      </c>
      <c r="E357" s="17"/>
      <c r="F357" s="17">
        <v>9954.7579999999998</v>
      </c>
      <c r="G357" s="17"/>
      <c r="H357" s="17">
        <v>9954.7579999999998</v>
      </c>
      <c r="I357" s="17"/>
      <c r="J357" s="17">
        <v>100</v>
      </c>
    </row>
    <row r="358" spans="1:10" x14ac:dyDescent="0.2">
      <c r="A358" s="11" t="s">
        <v>323</v>
      </c>
      <c r="B358" s="12" t="s">
        <v>779</v>
      </c>
      <c r="C358" s="12"/>
      <c r="D358" s="12"/>
      <c r="E358" s="13">
        <v>353336.4</v>
      </c>
      <c r="F358" s="13">
        <v>352440.815</v>
      </c>
      <c r="G358" s="13">
        <v>27957.904999999999</v>
      </c>
      <c r="H358" s="13">
        <v>214114.454</v>
      </c>
      <c r="I358" s="13">
        <v>60.597999999999999</v>
      </c>
      <c r="J358" s="13">
        <v>60.752000000000002</v>
      </c>
    </row>
    <row r="359" spans="1:10" ht="22.5" x14ac:dyDescent="0.2">
      <c r="A359" s="11" t="s">
        <v>324</v>
      </c>
      <c r="B359" s="12" t="s">
        <v>780</v>
      </c>
      <c r="C359" s="12"/>
      <c r="D359" s="12"/>
      <c r="E359" s="13">
        <v>353336.4</v>
      </c>
      <c r="F359" s="13">
        <v>352440.815</v>
      </c>
      <c r="G359" s="13">
        <v>27957.904999999999</v>
      </c>
      <c r="H359" s="13">
        <v>214114.454</v>
      </c>
      <c r="I359" s="13">
        <v>60.597999999999999</v>
      </c>
      <c r="J359" s="13">
        <v>60.752000000000002</v>
      </c>
    </row>
    <row r="360" spans="1:10" x14ac:dyDescent="0.2">
      <c r="A360" s="15" t="s">
        <v>324</v>
      </c>
      <c r="B360" s="16" t="s">
        <v>781</v>
      </c>
      <c r="C360" s="16" t="s">
        <v>490</v>
      </c>
      <c r="D360" s="16" t="s">
        <v>24</v>
      </c>
      <c r="E360" s="17"/>
      <c r="F360" s="17">
        <v>70.2</v>
      </c>
      <c r="G360" s="17"/>
      <c r="H360" s="17">
        <v>70.2</v>
      </c>
      <c r="I360" s="17"/>
      <c r="J360" s="17">
        <v>100</v>
      </c>
    </row>
    <row r="361" spans="1:10" x14ac:dyDescent="0.2">
      <c r="A361" s="15" t="s">
        <v>324</v>
      </c>
      <c r="B361" s="16" t="s">
        <v>781</v>
      </c>
      <c r="C361" s="16" t="s">
        <v>491</v>
      </c>
      <c r="D361" s="16" t="s">
        <v>24</v>
      </c>
      <c r="E361" s="17"/>
      <c r="F361" s="17">
        <v>452.11500000000001</v>
      </c>
      <c r="G361" s="17"/>
      <c r="H361" s="17"/>
      <c r="I361" s="17"/>
      <c r="J361" s="17"/>
    </row>
    <row r="362" spans="1:10" x14ac:dyDescent="0.2">
      <c r="A362" s="15" t="s">
        <v>324</v>
      </c>
      <c r="B362" s="16" t="s">
        <v>781</v>
      </c>
      <c r="C362" s="16" t="s">
        <v>1046</v>
      </c>
      <c r="D362" s="16" t="s">
        <v>24</v>
      </c>
      <c r="E362" s="17">
        <v>949.1</v>
      </c>
      <c r="F362" s="17">
        <v>949.1</v>
      </c>
      <c r="G362" s="17"/>
      <c r="H362" s="17">
        <v>949.1</v>
      </c>
      <c r="I362" s="17">
        <v>100</v>
      </c>
      <c r="J362" s="17">
        <v>100</v>
      </c>
    </row>
    <row r="363" spans="1:10" x14ac:dyDescent="0.2">
      <c r="A363" s="15" t="s">
        <v>324</v>
      </c>
      <c r="B363" s="16" t="s">
        <v>781</v>
      </c>
      <c r="C363" s="16" t="s">
        <v>1188</v>
      </c>
      <c r="D363" s="16" t="s">
        <v>24</v>
      </c>
      <c r="E363" s="17">
        <v>68.5</v>
      </c>
      <c r="F363" s="17">
        <v>68.5</v>
      </c>
      <c r="G363" s="17"/>
      <c r="H363" s="17">
        <v>68.5</v>
      </c>
      <c r="I363" s="17">
        <v>100</v>
      </c>
      <c r="J363" s="17">
        <v>100</v>
      </c>
    </row>
    <row r="364" spans="1:10" x14ac:dyDescent="0.2">
      <c r="A364" s="15" t="s">
        <v>324</v>
      </c>
      <c r="B364" s="16" t="s">
        <v>782</v>
      </c>
      <c r="C364" s="16" t="s">
        <v>325</v>
      </c>
      <c r="D364" s="16" t="s">
        <v>24</v>
      </c>
      <c r="E364" s="17">
        <v>331.5</v>
      </c>
      <c r="F364" s="17">
        <v>331.5</v>
      </c>
      <c r="G364" s="17"/>
      <c r="H364" s="17">
        <v>331.5</v>
      </c>
      <c r="I364" s="17">
        <v>100</v>
      </c>
      <c r="J364" s="17">
        <v>100</v>
      </c>
    </row>
    <row r="365" spans="1:10" x14ac:dyDescent="0.2">
      <c r="A365" s="15" t="s">
        <v>324</v>
      </c>
      <c r="B365" s="16" t="s">
        <v>782</v>
      </c>
      <c r="C365" s="16" t="s">
        <v>783</v>
      </c>
      <c r="D365" s="16" t="s">
        <v>24</v>
      </c>
      <c r="E365" s="17">
        <v>1578.9</v>
      </c>
      <c r="F365" s="17">
        <v>1578.9</v>
      </c>
      <c r="G365" s="17"/>
      <c r="H365" s="17">
        <v>1483.404</v>
      </c>
      <c r="I365" s="17">
        <v>93.951999999999998</v>
      </c>
      <c r="J365" s="17">
        <v>93.951999999999998</v>
      </c>
    </row>
    <row r="366" spans="1:10" x14ac:dyDescent="0.2">
      <c r="A366" s="15" t="s">
        <v>324</v>
      </c>
      <c r="B366" s="16" t="s">
        <v>782</v>
      </c>
      <c r="C366" s="16" t="s">
        <v>1045</v>
      </c>
      <c r="D366" s="16" t="s">
        <v>24</v>
      </c>
      <c r="E366" s="17">
        <v>8069.2</v>
      </c>
      <c r="F366" s="17">
        <v>8069.2</v>
      </c>
      <c r="G366" s="17">
        <v>104.816</v>
      </c>
      <c r="H366" s="17">
        <v>3274.8809999999999</v>
      </c>
      <c r="I366" s="17">
        <v>40.585000000000001</v>
      </c>
      <c r="J366" s="17">
        <v>40.585000000000001</v>
      </c>
    </row>
    <row r="367" spans="1:10" x14ac:dyDescent="0.2">
      <c r="A367" s="15" t="s">
        <v>324</v>
      </c>
      <c r="B367" s="16" t="s">
        <v>782</v>
      </c>
      <c r="C367" s="16" t="s">
        <v>1189</v>
      </c>
      <c r="D367" s="16" t="s">
        <v>24</v>
      </c>
      <c r="E367" s="17">
        <v>4219.1000000000004</v>
      </c>
      <c r="F367" s="17">
        <v>4219.1000000000004</v>
      </c>
      <c r="G367" s="17"/>
      <c r="H367" s="17">
        <v>1144.97</v>
      </c>
      <c r="I367" s="17">
        <v>27.138000000000002</v>
      </c>
      <c r="J367" s="17">
        <v>27.138000000000002</v>
      </c>
    </row>
    <row r="368" spans="1:10" x14ac:dyDescent="0.2">
      <c r="A368" s="15" t="s">
        <v>324</v>
      </c>
      <c r="B368" s="16" t="s">
        <v>785</v>
      </c>
      <c r="C368" s="16" t="s">
        <v>327</v>
      </c>
      <c r="D368" s="16" t="s">
        <v>24</v>
      </c>
      <c r="E368" s="17">
        <v>5149.1000000000004</v>
      </c>
      <c r="F368" s="17">
        <v>5149.1000000000004</v>
      </c>
      <c r="G368" s="17"/>
      <c r="H368" s="17"/>
      <c r="I368" s="17"/>
      <c r="J368" s="17"/>
    </row>
    <row r="369" spans="1:11" x14ac:dyDescent="0.2">
      <c r="A369" s="15" t="s">
        <v>324</v>
      </c>
      <c r="B369" s="16" t="s">
        <v>785</v>
      </c>
      <c r="C369" s="16" t="s">
        <v>485</v>
      </c>
      <c r="D369" s="16" t="s">
        <v>24</v>
      </c>
      <c r="E369" s="17">
        <v>106071.8</v>
      </c>
      <c r="F369" s="17">
        <v>106071.8</v>
      </c>
      <c r="G369" s="17">
        <v>10721.35</v>
      </c>
      <c r="H369" s="17">
        <v>81435.850000000006</v>
      </c>
      <c r="I369" s="17">
        <v>76.774000000000001</v>
      </c>
      <c r="J369" s="17">
        <v>76.774000000000001</v>
      </c>
    </row>
    <row r="370" spans="1:11" x14ac:dyDescent="0.2">
      <c r="A370" s="15" t="s">
        <v>324</v>
      </c>
      <c r="B370" s="16" t="s">
        <v>785</v>
      </c>
      <c r="C370" s="16" t="s">
        <v>492</v>
      </c>
      <c r="D370" s="16" t="s">
        <v>24</v>
      </c>
      <c r="E370" s="17">
        <v>15000</v>
      </c>
      <c r="F370" s="17">
        <v>15000</v>
      </c>
      <c r="G370" s="17">
        <v>663.11400000000003</v>
      </c>
      <c r="H370" s="17">
        <v>13717.674999999999</v>
      </c>
      <c r="I370" s="17">
        <v>91.450999999999993</v>
      </c>
      <c r="J370" s="17">
        <v>91.450999999999993</v>
      </c>
    </row>
    <row r="371" spans="1:11" x14ac:dyDescent="0.2">
      <c r="A371" s="15" t="s">
        <v>324</v>
      </c>
      <c r="B371" s="16" t="s">
        <v>785</v>
      </c>
      <c r="C371" s="16" t="s">
        <v>786</v>
      </c>
      <c r="D371" s="16" t="s">
        <v>24</v>
      </c>
      <c r="E371" s="17">
        <v>126149.2</v>
      </c>
      <c r="F371" s="17">
        <v>126149.2</v>
      </c>
      <c r="G371" s="17">
        <v>10512.5</v>
      </c>
      <c r="H371" s="17">
        <v>105111.9</v>
      </c>
      <c r="I371" s="17">
        <v>83.323999999999998</v>
      </c>
      <c r="J371" s="17">
        <v>83.323999999999998</v>
      </c>
    </row>
    <row r="372" spans="1:11" x14ac:dyDescent="0.2">
      <c r="A372" s="15" t="s">
        <v>324</v>
      </c>
      <c r="B372" s="16" t="s">
        <v>787</v>
      </c>
      <c r="C372" s="16" t="s">
        <v>326</v>
      </c>
      <c r="D372" s="16" t="s">
        <v>24</v>
      </c>
      <c r="E372" s="17">
        <v>61134</v>
      </c>
      <c r="F372" s="17">
        <v>61134</v>
      </c>
      <c r="G372" s="17">
        <v>5333.549</v>
      </c>
      <c r="H372" s="17">
        <v>5333.549</v>
      </c>
      <c r="I372" s="17">
        <v>8.7240000000000002</v>
      </c>
      <c r="J372" s="17">
        <v>8.7240000000000002</v>
      </c>
    </row>
    <row r="373" spans="1:11" x14ac:dyDescent="0.2">
      <c r="A373" s="15" t="s">
        <v>324</v>
      </c>
      <c r="B373" s="16" t="s">
        <v>787</v>
      </c>
      <c r="C373" s="16" t="s">
        <v>605</v>
      </c>
      <c r="D373" s="16" t="s">
        <v>24</v>
      </c>
      <c r="E373" s="17">
        <v>16281</v>
      </c>
      <c r="F373" s="17">
        <v>1995.9</v>
      </c>
      <c r="G373" s="17"/>
      <c r="H373" s="17"/>
      <c r="I373" s="17"/>
      <c r="J373" s="17"/>
    </row>
    <row r="374" spans="1:11" x14ac:dyDescent="0.2">
      <c r="A374" s="15" t="s">
        <v>324</v>
      </c>
      <c r="B374" s="16" t="s">
        <v>787</v>
      </c>
      <c r="C374" s="16" t="s">
        <v>788</v>
      </c>
      <c r="D374" s="16" t="s">
        <v>24</v>
      </c>
      <c r="E374" s="17"/>
      <c r="F374" s="17">
        <v>570.4</v>
      </c>
      <c r="G374" s="17"/>
      <c r="H374" s="17">
        <v>570.35</v>
      </c>
      <c r="I374" s="17"/>
      <c r="J374" s="17">
        <v>99.991</v>
      </c>
    </row>
    <row r="375" spans="1:11" x14ac:dyDescent="0.2">
      <c r="A375" s="15" t="s">
        <v>324</v>
      </c>
      <c r="B375" s="16" t="s">
        <v>787</v>
      </c>
      <c r="C375" s="16" t="s">
        <v>1190</v>
      </c>
      <c r="D375" s="16" t="s">
        <v>24</v>
      </c>
      <c r="E375" s="17">
        <v>8335</v>
      </c>
      <c r="F375" s="17">
        <v>622.6</v>
      </c>
      <c r="G375" s="17">
        <v>622.57500000000005</v>
      </c>
      <c r="H375" s="17">
        <v>622.57500000000005</v>
      </c>
      <c r="I375" s="17">
        <v>7.4690000000000003</v>
      </c>
      <c r="J375" s="17">
        <v>99.995999999999995</v>
      </c>
    </row>
    <row r="376" spans="1:11" x14ac:dyDescent="0.2">
      <c r="A376" s="15" t="s">
        <v>324</v>
      </c>
      <c r="B376" s="16" t="s">
        <v>787</v>
      </c>
      <c r="C376" s="16" t="s">
        <v>1191</v>
      </c>
      <c r="D376" s="16" t="s">
        <v>24</v>
      </c>
      <c r="E376" s="17"/>
      <c r="F376" s="17">
        <v>9473.9</v>
      </c>
      <c r="G376" s="17"/>
      <c r="H376" s="17"/>
      <c r="I376" s="17"/>
      <c r="J376" s="17"/>
    </row>
    <row r="377" spans="1:11" x14ac:dyDescent="0.2">
      <c r="A377" s="15" t="s">
        <v>324</v>
      </c>
      <c r="B377" s="16" t="s">
        <v>787</v>
      </c>
      <c r="C377" s="16" t="s">
        <v>1192</v>
      </c>
      <c r="D377" s="16" t="s">
        <v>24</v>
      </c>
      <c r="E377" s="17"/>
      <c r="F377" s="17">
        <v>10535.3</v>
      </c>
      <c r="G377" s="17"/>
      <c r="H377" s="17"/>
      <c r="I377" s="17"/>
      <c r="J377" s="17"/>
    </row>
    <row r="378" spans="1:11" s="212" customFormat="1" ht="22.5" x14ac:dyDescent="0.2">
      <c r="A378" s="28" t="s">
        <v>328</v>
      </c>
      <c r="B378" s="29" t="s">
        <v>790</v>
      </c>
      <c r="C378" s="29"/>
      <c r="D378" s="29"/>
      <c r="E378" s="22">
        <v>1250318.8</v>
      </c>
      <c r="F378" s="22">
        <v>1240725.2</v>
      </c>
      <c r="G378" s="22">
        <v>84118.258000000002</v>
      </c>
      <c r="H378" s="22">
        <v>923565.04799999995</v>
      </c>
      <c r="I378" s="22">
        <v>73.866</v>
      </c>
      <c r="J378" s="22">
        <v>74.438000000000002</v>
      </c>
      <c r="K378" s="216"/>
    </row>
    <row r="379" spans="1:11" ht="33.75" x14ac:dyDescent="0.2">
      <c r="A379" s="11" t="s">
        <v>329</v>
      </c>
      <c r="B379" s="12" t="s">
        <v>791</v>
      </c>
      <c r="C379" s="12"/>
      <c r="D379" s="12"/>
      <c r="E379" s="13">
        <v>72792.5</v>
      </c>
      <c r="F379" s="13">
        <v>72792.5</v>
      </c>
      <c r="G379" s="13">
        <v>7089.9089999999997</v>
      </c>
      <c r="H379" s="13">
        <v>59221.116000000002</v>
      </c>
      <c r="I379" s="13">
        <v>81.355999999999995</v>
      </c>
      <c r="J379" s="13">
        <v>81.355999999999995</v>
      </c>
    </row>
    <row r="380" spans="1:11" ht="33.75" x14ac:dyDescent="0.2">
      <c r="A380" s="11" t="s">
        <v>330</v>
      </c>
      <c r="B380" s="12" t="s">
        <v>792</v>
      </c>
      <c r="C380" s="12"/>
      <c r="D380" s="12"/>
      <c r="E380" s="13">
        <v>72792.5</v>
      </c>
      <c r="F380" s="13">
        <v>72792.5</v>
      </c>
      <c r="G380" s="13">
        <v>7089.9089999999997</v>
      </c>
      <c r="H380" s="13">
        <v>59221.116000000002</v>
      </c>
      <c r="I380" s="13">
        <v>81.355999999999995</v>
      </c>
      <c r="J380" s="13">
        <v>81.355999999999995</v>
      </c>
    </row>
    <row r="381" spans="1:11" ht="33.75" x14ac:dyDescent="0.2">
      <c r="A381" s="15" t="s">
        <v>330</v>
      </c>
      <c r="B381" s="16" t="s">
        <v>793</v>
      </c>
      <c r="C381" s="16" t="s">
        <v>23</v>
      </c>
      <c r="D381" s="16" t="s">
        <v>24</v>
      </c>
      <c r="E381" s="17">
        <v>72792.5</v>
      </c>
      <c r="F381" s="17">
        <v>72792.5</v>
      </c>
      <c r="G381" s="17">
        <v>7089.9089999999997</v>
      </c>
      <c r="H381" s="17">
        <v>59221.116000000002</v>
      </c>
      <c r="I381" s="17">
        <v>81.355999999999995</v>
      </c>
      <c r="J381" s="17">
        <v>81.355999999999995</v>
      </c>
    </row>
    <row r="382" spans="1:11" ht="33.75" x14ac:dyDescent="0.2">
      <c r="A382" s="11" t="s">
        <v>331</v>
      </c>
      <c r="B382" s="12" t="s">
        <v>794</v>
      </c>
      <c r="C382" s="12"/>
      <c r="D382" s="12"/>
      <c r="E382" s="13">
        <v>87962.6</v>
      </c>
      <c r="F382" s="13">
        <v>78369</v>
      </c>
      <c r="G382" s="13">
        <v>3408.3490000000002</v>
      </c>
      <c r="H382" s="13">
        <v>50560.381999999998</v>
      </c>
      <c r="I382" s="13">
        <v>57.478999999999999</v>
      </c>
      <c r="J382" s="13">
        <v>64.516000000000005</v>
      </c>
    </row>
    <row r="383" spans="1:11" ht="33.75" x14ac:dyDescent="0.2">
      <c r="A383" s="11" t="s">
        <v>332</v>
      </c>
      <c r="B383" s="12" t="s">
        <v>795</v>
      </c>
      <c r="C383" s="12"/>
      <c r="D383" s="12"/>
      <c r="E383" s="13">
        <v>87962.6</v>
      </c>
      <c r="F383" s="13">
        <v>78369</v>
      </c>
      <c r="G383" s="13">
        <v>3408.3490000000002</v>
      </c>
      <c r="H383" s="13">
        <v>50560.381999999998</v>
      </c>
      <c r="I383" s="13">
        <v>57.478999999999999</v>
      </c>
      <c r="J383" s="13">
        <v>64.516000000000005</v>
      </c>
    </row>
    <row r="384" spans="1:11" ht="33.75" x14ac:dyDescent="0.2">
      <c r="A384" s="15" t="s">
        <v>332</v>
      </c>
      <c r="B384" s="16" t="s">
        <v>796</v>
      </c>
      <c r="C384" s="16" t="s">
        <v>333</v>
      </c>
      <c r="D384" s="16" t="s">
        <v>24</v>
      </c>
      <c r="E384" s="17">
        <v>37662</v>
      </c>
      <c r="F384" s="17">
        <v>37662</v>
      </c>
      <c r="G384" s="17">
        <v>2118.5419999999999</v>
      </c>
      <c r="H384" s="17">
        <v>14158.126</v>
      </c>
      <c r="I384" s="17">
        <v>37.593000000000004</v>
      </c>
      <c r="J384" s="17">
        <v>37.593000000000004</v>
      </c>
    </row>
    <row r="385" spans="1:10" ht="33.75" x14ac:dyDescent="0.2">
      <c r="A385" s="15" t="s">
        <v>332</v>
      </c>
      <c r="B385" s="16" t="s">
        <v>796</v>
      </c>
      <c r="C385" s="16" t="s">
        <v>1193</v>
      </c>
      <c r="D385" s="16" t="s">
        <v>24</v>
      </c>
      <c r="E385" s="17">
        <v>40501.300000000003</v>
      </c>
      <c r="F385" s="17">
        <v>30907.7</v>
      </c>
      <c r="G385" s="17">
        <v>-125.69499999999999</v>
      </c>
      <c r="H385" s="17">
        <v>27978.2</v>
      </c>
      <c r="I385" s="17">
        <v>69.08</v>
      </c>
      <c r="J385" s="17">
        <v>90.522000000000006</v>
      </c>
    </row>
    <row r="386" spans="1:10" ht="33.75" x14ac:dyDescent="0.2">
      <c r="A386" s="15" t="s">
        <v>332</v>
      </c>
      <c r="B386" s="16" t="s">
        <v>796</v>
      </c>
      <c r="C386" s="16" t="s">
        <v>1194</v>
      </c>
      <c r="D386" s="16" t="s">
        <v>24</v>
      </c>
      <c r="E386" s="17">
        <v>1344.4</v>
      </c>
      <c r="F386" s="17">
        <v>1344.4</v>
      </c>
      <c r="G386" s="17"/>
      <c r="H386" s="17">
        <v>1228.8599999999999</v>
      </c>
      <c r="I386" s="17">
        <v>91.406000000000006</v>
      </c>
      <c r="J386" s="17">
        <v>91.406000000000006</v>
      </c>
    </row>
    <row r="387" spans="1:10" ht="33.75" x14ac:dyDescent="0.2">
      <c r="A387" s="15" t="s">
        <v>332</v>
      </c>
      <c r="B387" s="16" t="s">
        <v>797</v>
      </c>
      <c r="C387" s="16" t="s">
        <v>334</v>
      </c>
      <c r="D387" s="16" t="s">
        <v>24</v>
      </c>
      <c r="E387" s="17">
        <v>3822.3</v>
      </c>
      <c r="F387" s="17">
        <v>3822.3</v>
      </c>
      <c r="G387" s="17">
        <v>710.80700000000002</v>
      </c>
      <c r="H387" s="17">
        <v>3227.154</v>
      </c>
      <c r="I387" s="17">
        <v>84.43</v>
      </c>
      <c r="J387" s="17">
        <v>84.43</v>
      </c>
    </row>
    <row r="388" spans="1:10" ht="33.75" x14ac:dyDescent="0.2">
      <c r="A388" s="15" t="s">
        <v>332</v>
      </c>
      <c r="B388" s="16" t="s">
        <v>797</v>
      </c>
      <c r="C388" s="16" t="s">
        <v>335</v>
      </c>
      <c r="D388" s="16" t="s">
        <v>24</v>
      </c>
      <c r="E388" s="17">
        <v>654.9</v>
      </c>
      <c r="F388" s="17">
        <v>654.9</v>
      </c>
      <c r="G388" s="17">
        <v>68.414000000000001</v>
      </c>
      <c r="H388" s="17">
        <v>615.73199999999997</v>
      </c>
      <c r="I388" s="17">
        <v>94.019000000000005</v>
      </c>
      <c r="J388" s="17">
        <v>94.019000000000005</v>
      </c>
    </row>
    <row r="389" spans="1:10" ht="33.75" x14ac:dyDescent="0.2">
      <c r="A389" s="15" t="s">
        <v>332</v>
      </c>
      <c r="B389" s="16" t="s">
        <v>797</v>
      </c>
      <c r="C389" s="16" t="s">
        <v>336</v>
      </c>
      <c r="D389" s="16" t="s">
        <v>24</v>
      </c>
      <c r="E389" s="17">
        <v>1979</v>
      </c>
      <c r="F389" s="17">
        <v>1979</v>
      </c>
      <c r="G389" s="17">
        <v>294.166</v>
      </c>
      <c r="H389" s="17">
        <v>1693.9649999999999</v>
      </c>
      <c r="I389" s="17">
        <v>85.596999999999994</v>
      </c>
      <c r="J389" s="17">
        <v>85.596999999999994</v>
      </c>
    </row>
    <row r="390" spans="1:10" ht="33.75" x14ac:dyDescent="0.2">
      <c r="A390" s="15" t="s">
        <v>332</v>
      </c>
      <c r="B390" s="16" t="s">
        <v>797</v>
      </c>
      <c r="C390" s="16" t="s">
        <v>337</v>
      </c>
      <c r="D390" s="16" t="s">
        <v>24</v>
      </c>
      <c r="E390" s="17">
        <v>1309.7</v>
      </c>
      <c r="F390" s="17">
        <v>1309.7</v>
      </c>
      <c r="G390" s="17">
        <v>215.39500000000001</v>
      </c>
      <c r="H390" s="17">
        <v>970.04499999999996</v>
      </c>
      <c r="I390" s="17">
        <v>74.066000000000003</v>
      </c>
      <c r="J390" s="17">
        <v>74.066000000000003</v>
      </c>
    </row>
    <row r="391" spans="1:10" ht="33.75" x14ac:dyDescent="0.2">
      <c r="A391" s="15" t="s">
        <v>332</v>
      </c>
      <c r="B391" s="16" t="s">
        <v>797</v>
      </c>
      <c r="C391" s="16" t="s">
        <v>339</v>
      </c>
      <c r="D391" s="16" t="s">
        <v>24</v>
      </c>
      <c r="E391" s="17">
        <v>0.7</v>
      </c>
      <c r="F391" s="17">
        <v>0.7</v>
      </c>
      <c r="G391" s="17"/>
      <c r="H391" s="17"/>
      <c r="I391" s="17"/>
      <c r="J391" s="17"/>
    </row>
    <row r="392" spans="1:10" ht="33.75" x14ac:dyDescent="0.2">
      <c r="A392" s="15" t="s">
        <v>332</v>
      </c>
      <c r="B392" s="16" t="s">
        <v>797</v>
      </c>
      <c r="C392" s="16" t="s">
        <v>698</v>
      </c>
      <c r="D392" s="16" t="s">
        <v>24</v>
      </c>
      <c r="E392" s="17">
        <v>54.7</v>
      </c>
      <c r="F392" s="17">
        <v>54.7</v>
      </c>
      <c r="G392" s="17"/>
      <c r="H392" s="17">
        <v>54.7</v>
      </c>
      <c r="I392" s="17">
        <v>100</v>
      </c>
      <c r="J392" s="17">
        <v>100</v>
      </c>
    </row>
    <row r="393" spans="1:10" ht="33.75" x14ac:dyDescent="0.2">
      <c r="A393" s="15" t="s">
        <v>332</v>
      </c>
      <c r="B393" s="16" t="s">
        <v>798</v>
      </c>
      <c r="C393" s="16" t="s">
        <v>338</v>
      </c>
      <c r="D393" s="16" t="s">
        <v>24</v>
      </c>
      <c r="E393" s="17">
        <v>633.6</v>
      </c>
      <c r="F393" s="17">
        <v>633.6</v>
      </c>
      <c r="G393" s="17">
        <v>126.72</v>
      </c>
      <c r="H393" s="17">
        <v>633.6</v>
      </c>
      <c r="I393" s="17">
        <v>100</v>
      </c>
      <c r="J393" s="17">
        <v>100</v>
      </c>
    </row>
    <row r="394" spans="1:10" ht="45" x14ac:dyDescent="0.2">
      <c r="A394" s="11" t="s">
        <v>606</v>
      </c>
      <c r="B394" s="12" t="s">
        <v>799</v>
      </c>
      <c r="C394" s="12"/>
      <c r="D394" s="12"/>
      <c r="E394" s="13">
        <v>74.2</v>
      </c>
      <c r="F394" s="13">
        <v>74.2</v>
      </c>
      <c r="G394" s="13"/>
      <c r="H394" s="13">
        <v>74.2</v>
      </c>
      <c r="I394" s="13">
        <v>100</v>
      </c>
      <c r="J394" s="13">
        <v>100</v>
      </c>
    </row>
    <row r="395" spans="1:10" ht="56.25" x14ac:dyDescent="0.2">
      <c r="A395" s="11" t="s">
        <v>436</v>
      </c>
      <c r="B395" s="12" t="s">
        <v>800</v>
      </c>
      <c r="C395" s="12"/>
      <c r="D395" s="12"/>
      <c r="E395" s="13">
        <v>74.2</v>
      </c>
      <c r="F395" s="13">
        <v>74.2</v>
      </c>
      <c r="G395" s="13"/>
      <c r="H395" s="13">
        <v>74.2</v>
      </c>
      <c r="I395" s="13">
        <v>100</v>
      </c>
      <c r="J395" s="13">
        <v>100</v>
      </c>
    </row>
    <row r="396" spans="1:10" ht="56.25" x14ac:dyDescent="0.2">
      <c r="A396" s="15" t="s">
        <v>436</v>
      </c>
      <c r="B396" s="16" t="s">
        <v>801</v>
      </c>
      <c r="C396" s="16" t="s">
        <v>23</v>
      </c>
      <c r="D396" s="16" t="s">
        <v>24</v>
      </c>
      <c r="E396" s="17">
        <v>74.2</v>
      </c>
      <c r="F396" s="17">
        <v>74.2</v>
      </c>
      <c r="G396" s="17"/>
      <c r="H396" s="17">
        <v>74.2</v>
      </c>
      <c r="I396" s="17">
        <v>100</v>
      </c>
      <c r="J396" s="17">
        <v>100</v>
      </c>
    </row>
    <row r="397" spans="1:10" ht="22.5" x14ac:dyDescent="0.2">
      <c r="A397" s="11" t="s">
        <v>1195</v>
      </c>
      <c r="B397" s="12" t="s">
        <v>1196</v>
      </c>
      <c r="C397" s="12"/>
      <c r="D397" s="12"/>
      <c r="E397" s="13">
        <v>1074.3</v>
      </c>
      <c r="F397" s="13">
        <v>1074.3</v>
      </c>
      <c r="G397" s="13"/>
      <c r="H397" s="13"/>
      <c r="I397" s="13"/>
      <c r="J397" s="13"/>
    </row>
    <row r="398" spans="1:10" ht="33.75" x14ac:dyDescent="0.2">
      <c r="A398" s="11" t="s">
        <v>880</v>
      </c>
      <c r="B398" s="12" t="s">
        <v>1197</v>
      </c>
      <c r="C398" s="12"/>
      <c r="D398" s="12"/>
      <c r="E398" s="13">
        <v>1074.3</v>
      </c>
      <c r="F398" s="13">
        <v>1074.3</v>
      </c>
      <c r="G398" s="13"/>
      <c r="H398" s="13"/>
      <c r="I398" s="13"/>
      <c r="J398" s="13"/>
    </row>
    <row r="399" spans="1:10" ht="33.75" x14ac:dyDescent="0.2">
      <c r="A399" s="15" t="s">
        <v>880</v>
      </c>
      <c r="B399" s="16" t="s">
        <v>1198</v>
      </c>
      <c r="C399" s="16" t="s">
        <v>23</v>
      </c>
      <c r="D399" s="16" t="s">
        <v>24</v>
      </c>
      <c r="E399" s="17">
        <v>1074.3</v>
      </c>
      <c r="F399" s="17">
        <v>1074.3</v>
      </c>
      <c r="G399" s="17"/>
      <c r="H399" s="17"/>
      <c r="I399" s="17"/>
      <c r="J399" s="17"/>
    </row>
    <row r="400" spans="1:10" x14ac:dyDescent="0.2">
      <c r="A400" s="11" t="s">
        <v>341</v>
      </c>
      <c r="B400" s="12" t="s">
        <v>802</v>
      </c>
      <c r="C400" s="12"/>
      <c r="D400" s="12"/>
      <c r="E400" s="13">
        <v>1088415.2</v>
      </c>
      <c r="F400" s="13">
        <v>1088415.2</v>
      </c>
      <c r="G400" s="13">
        <v>73620</v>
      </c>
      <c r="H400" s="13">
        <v>813709.35</v>
      </c>
      <c r="I400" s="13">
        <v>74.760999999999996</v>
      </c>
      <c r="J400" s="13">
        <v>74.760999999999996</v>
      </c>
    </row>
    <row r="401" spans="1:11" ht="22.5" x14ac:dyDescent="0.2">
      <c r="A401" s="11" t="s">
        <v>342</v>
      </c>
      <c r="B401" s="12" t="s">
        <v>803</v>
      </c>
      <c r="C401" s="12"/>
      <c r="D401" s="12"/>
      <c r="E401" s="13">
        <v>1088415.2</v>
      </c>
      <c r="F401" s="13">
        <v>1088415.2</v>
      </c>
      <c r="G401" s="13">
        <v>73620</v>
      </c>
      <c r="H401" s="13">
        <v>813709.35</v>
      </c>
      <c r="I401" s="13">
        <v>74.760999999999996</v>
      </c>
      <c r="J401" s="13">
        <v>74.760999999999996</v>
      </c>
    </row>
    <row r="402" spans="1:11" x14ac:dyDescent="0.2">
      <c r="A402" s="15" t="s">
        <v>342</v>
      </c>
      <c r="B402" s="16" t="s">
        <v>804</v>
      </c>
      <c r="C402" s="16" t="s">
        <v>340</v>
      </c>
      <c r="D402" s="16" t="s">
        <v>24</v>
      </c>
      <c r="E402" s="17">
        <v>769485.4</v>
      </c>
      <c r="F402" s="17">
        <v>769485.4</v>
      </c>
      <c r="G402" s="17">
        <v>49150</v>
      </c>
      <c r="H402" s="17">
        <v>567681.30000000005</v>
      </c>
      <c r="I402" s="17">
        <v>73.774000000000001</v>
      </c>
      <c r="J402" s="17">
        <v>73.774000000000001</v>
      </c>
    </row>
    <row r="403" spans="1:11" x14ac:dyDescent="0.2">
      <c r="A403" s="15" t="s">
        <v>342</v>
      </c>
      <c r="B403" s="16" t="s">
        <v>804</v>
      </c>
      <c r="C403" s="16" t="s">
        <v>343</v>
      </c>
      <c r="D403" s="16" t="s">
        <v>24</v>
      </c>
      <c r="E403" s="17">
        <v>318929.8</v>
      </c>
      <c r="F403" s="17">
        <v>318929.8</v>
      </c>
      <c r="G403" s="17">
        <v>24470</v>
      </c>
      <c r="H403" s="17">
        <v>246028.05</v>
      </c>
      <c r="I403" s="17">
        <v>77.141999999999996</v>
      </c>
      <c r="J403" s="17">
        <v>77.141999999999996</v>
      </c>
    </row>
    <row r="404" spans="1:11" s="212" customFormat="1" x14ac:dyDescent="0.2">
      <c r="A404" s="28" t="s">
        <v>344</v>
      </c>
      <c r="B404" s="29" t="s">
        <v>805</v>
      </c>
      <c r="C404" s="29"/>
      <c r="D404" s="29"/>
      <c r="E404" s="22">
        <v>11689.632</v>
      </c>
      <c r="F404" s="22">
        <v>100373.083</v>
      </c>
      <c r="G404" s="22">
        <v>5901.0630000000001</v>
      </c>
      <c r="H404" s="22">
        <v>36669.728999999999</v>
      </c>
      <c r="I404" s="22">
        <v>313.69499999999999</v>
      </c>
      <c r="J404" s="22">
        <v>36.533000000000001</v>
      </c>
      <c r="K404" s="216"/>
    </row>
    <row r="405" spans="1:11" ht="56.25" x14ac:dyDescent="0.2">
      <c r="A405" s="11" t="s">
        <v>345</v>
      </c>
      <c r="B405" s="12" t="s">
        <v>806</v>
      </c>
      <c r="C405" s="12"/>
      <c r="D405" s="12"/>
      <c r="E405" s="13">
        <v>11689.632</v>
      </c>
      <c r="F405" s="13">
        <v>15934.343000000001</v>
      </c>
      <c r="G405" s="13">
        <v>1458.528</v>
      </c>
      <c r="H405" s="13">
        <v>11419.072</v>
      </c>
      <c r="I405" s="13">
        <v>97.686000000000007</v>
      </c>
      <c r="J405" s="13">
        <v>71.662999999999997</v>
      </c>
    </row>
    <row r="406" spans="1:11" ht="56.25" x14ac:dyDescent="0.2">
      <c r="A406" s="11" t="s">
        <v>346</v>
      </c>
      <c r="B406" s="12" t="s">
        <v>807</v>
      </c>
      <c r="C406" s="12"/>
      <c r="D406" s="12"/>
      <c r="E406" s="13">
        <v>11689.632</v>
      </c>
      <c r="F406" s="13">
        <v>15934.343000000001</v>
      </c>
      <c r="G406" s="13">
        <v>1458.528</v>
      </c>
      <c r="H406" s="13">
        <v>11419.072</v>
      </c>
      <c r="I406" s="13">
        <v>97.686000000000007</v>
      </c>
      <c r="J406" s="13">
        <v>71.662999999999997</v>
      </c>
    </row>
    <row r="407" spans="1:11" ht="56.25" x14ac:dyDescent="0.2">
      <c r="A407" s="15" t="s">
        <v>346</v>
      </c>
      <c r="B407" s="16" t="s">
        <v>808</v>
      </c>
      <c r="C407" s="16" t="s">
        <v>607</v>
      </c>
      <c r="D407" s="16" t="s">
        <v>24</v>
      </c>
      <c r="E407" s="17">
        <v>728.48199999999997</v>
      </c>
      <c r="F407" s="17">
        <v>971.30899999999997</v>
      </c>
      <c r="G407" s="17">
        <v>86.36</v>
      </c>
      <c r="H407" s="17">
        <v>694.45</v>
      </c>
      <c r="I407" s="17">
        <v>95.328999999999994</v>
      </c>
      <c r="J407" s="17">
        <v>71.495999999999995</v>
      </c>
    </row>
    <row r="408" spans="1:11" ht="56.25" x14ac:dyDescent="0.2">
      <c r="A408" s="15" t="s">
        <v>346</v>
      </c>
      <c r="B408" s="16" t="s">
        <v>808</v>
      </c>
      <c r="C408" s="16" t="s">
        <v>348</v>
      </c>
      <c r="D408" s="16" t="s">
        <v>24</v>
      </c>
      <c r="E408" s="17">
        <v>612.16899999999998</v>
      </c>
      <c r="F408" s="17">
        <v>816.226</v>
      </c>
      <c r="G408" s="17">
        <v>72.760000000000005</v>
      </c>
      <c r="H408" s="17">
        <v>593.63699999999994</v>
      </c>
      <c r="I408" s="17">
        <v>96.972999999999999</v>
      </c>
      <c r="J408" s="17">
        <v>72.73</v>
      </c>
    </row>
    <row r="409" spans="1:11" ht="56.25" x14ac:dyDescent="0.2">
      <c r="A409" s="15" t="s">
        <v>346</v>
      </c>
      <c r="B409" s="16" t="s">
        <v>809</v>
      </c>
      <c r="C409" s="16" t="s">
        <v>607</v>
      </c>
      <c r="D409" s="16" t="s">
        <v>24</v>
      </c>
      <c r="E409" s="17">
        <v>9478.2080000000005</v>
      </c>
      <c r="F409" s="17">
        <v>11502.286</v>
      </c>
      <c r="G409" s="17">
        <v>1134.2840000000001</v>
      </c>
      <c r="H409" s="17">
        <v>8138.1220000000003</v>
      </c>
      <c r="I409" s="17">
        <v>85.861000000000004</v>
      </c>
      <c r="J409" s="17">
        <v>70.751999999999995</v>
      </c>
    </row>
    <row r="410" spans="1:11" ht="56.25" x14ac:dyDescent="0.2">
      <c r="A410" s="15" t="s">
        <v>346</v>
      </c>
      <c r="B410" s="16" t="s">
        <v>810</v>
      </c>
      <c r="C410" s="16" t="s">
        <v>608</v>
      </c>
      <c r="D410" s="16" t="s">
        <v>24</v>
      </c>
      <c r="E410" s="17">
        <v>189.36500000000001</v>
      </c>
      <c r="F410" s="17">
        <v>281.59199999999998</v>
      </c>
      <c r="G410" s="17">
        <v>27.81</v>
      </c>
      <c r="H410" s="17">
        <v>198.35900000000001</v>
      </c>
      <c r="I410" s="17">
        <v>104.75</v>
      </c>
      <c r="J410" s="17">
        <v>70.441999999999993</v>
      </c>
    </row>
    <row r="411" spans="1:11" ht="56.25" x14ac:dyDescent="0.2">
      <c r="A411" s="15" t="s">
        <v>346</v>
      </c>
      <c r="B411" s="16" t="s">
        <v>811</v>
      </c>
      <c r="C411" s="16" t="s">
        <v>23</v>
      </c>
      <c r="D411" s="16" t="s">
        <v>24</v>
      </c>
      <c r="E411" s="17"/>
      <c r="F411" s="17"/>
      <c r="G411" s="17">
        <v>6</v>
      </c>
      <c r="H411" s="17">
        <v>6</v>
      </c>
      <c r="I411" s="17"/>
      <c r="J411" s="17"/>
    </row>
    <row r="412" spans="1:11" ht="56.25" x14ac:dyDescent="0.2">
      <c r="A412" s="15" t="s">
        <v>346</v>
      </c>
      <c r="B412" s="16" t="s">
        <v>811</v>
      </c>
      <c r="C412" s="16" t="s">
        <v>607</v>
      </c>
      <c r="D412" s="16" t="s">
        <v>24</v>
      </c>
      <c r="E412" s="17">
        <v>681.40800000000002</v>
      </c>
      <c r="F412" s="17">
        <v>1930.163</v>
      </c>
      <c r="G412" s="17">
        <v>131.31399999999999</v>
      </c>
      <c r="H412" s="17">
        <v>1494.875</v>
      </c>
      <c r="I412" s="17">
        <v>219.38</v>
      </c>
      <c r="J412" s="17">
        <v>77.447999999999993</v>
      </c>
    </row>
    <row r="413" spans="1:11" ht="56.25" x14ac:dyDescent="0.2">
      <c r="A413" s="15" t="s">
        <v>346</v>
      </c>
      <c r="B413" s="16" t="s">
        <v>812</v>
      </c>
      <c r="C413" s="16" t="s">
        <v>347</v>
      </c>
      <c r="D413" s="16" t="s">
        <v>24</v>
      </c>
      <c r="E413" s="17"/>
      <c r="F413" s="17">
        <v>432.767</v>
      </c>
      <c r="G413" s="17"/>
      <c r="H413" s="17">
        <v>293.62900000000002</v>
      </c>
      <c r="I413" s="17"/>
      <c r="J413" s="17">
        <v>67.849000000000004</v>
      </c>
    </row>
    <row r="414" spans="1:11" s="212" customFormat="1" ht="22.5" x14ac:dyDescent="0.2">
      <c r="A414" s="28" t="s">
        <v>813</v>
      </c>
      <c r="B414" s="29" t="s">
        <v>814</v>
      </c>
      <c r="C414" s="29"/>
      <c r="D414" s="29"/>
      <c r="E414" s="22"/>
      <c r="F414" s="22">
        <v>84438.74</v>
      </c>
      <c r="G414" s="22">
        <v>4442.5349999999999</v>
      </c>
      <c r="H414" s="22">
        <v>25250.657999999999</v>
      </c>
      <c r="I414" s="22"/>
      <c r="J414" s="22">
        <v>29.904</v>
      </c>
      <c r="K414" s="216"/>
    </row>
    <row r="415" spans="1:11" ht="22.5" x14ac:dyDescent="0.2">
      <c r="A415" s="11" t="s">
        <v>815</v>
      </c>
      <c r="B415" s="12" t="s">
        <v>816</v>
      </c>
      <c r="C415" s="12"/>
      <c r="D415" s="12"/>
      <c r="E415" s="13"/>
      <c r="F415" s="13">
        <v>84438.74</v>
      </c>
      <c r="G415" s="13">
        <v>4442.5349999999999</v>
      </c>
      <c r="H415" s="13">
        <v>25250.657999999999</v>
      </c>
      <c r="I415" s="13"/>
      <c r="J415" s="13">
        <v>29.904</v>
      </c>
    </row>
    <row r="416" spans="1:11" ht="22.5" x14ac:dyDescent="0.2">
      <c r="A416" s="15" t="s">
        <v>815</v>
      </c>
      <c r="B416" s="16" t="s">
        <v>817</v>
      </c>
      <c r="C416" s="16" t="s">
        <v>819</v>
      </c>
      <c r="D416" s="16" t="s">
        <v>24</v>
      </c>
      <c r="E416" s="17"/>
      <c r="F416" s="17">
        <v>44041.4</v>
      </c>
      <c r="G416" s="17">
        <v>3691.9</v>
      </c>
      <c r="H416" s="17">
        <v>13602.683000000001</v>
      </c>
      <c r="I416" s="17"/>
      <c r="J416" s="17">
        <v>30.885999999999999</v>
      </c>
    </row>
    <row r="417" spans="1:12" ht="22.5" x14ac:dyDescent="0.2">
      <c r="A417" s="15" t="s">
        <v>815</v>
      </c>
      <c r="B417" s="16" t="s">
        <v>817</v>
      </c>
      <c r="C417" s="16" t="s">
        <v>1199</v>
      </c>
      <c r="D417" s="16" t="s">
        <v>24</v>
      </c>
      <c r="E417" s="17"/>
      <c r="F417" s="17">
        <v>2000</v>
      </c>
      <c r="G417" s="17">
        <v>500</v>
      </c>
      <c r="H417" s="17">
        <v>2000</v>
      </c>
      <c r="I417" s="17"/>
      <c r="J417" s="17">
        <v>100</v>
      </c>
    </row>
    <row r="418" spans="1:12" ht="22.5" x14ac:dyDescent="0.2">
      <c r="A418" s="15" t="s">
        <v>815</v>
      </c>
      <c r="B418" s="16" t="s">
        <v>1200</v>
      </c>
      <c r="C418" s="16" t="s">
        <v>818</v>
      </c>
      <c r="D418" s="16" t="s">
        <v>24</v>
      </c>
      <c r="E418" s="17"/>
      <c r="F418" s="17">
        <v>29000</v>
      </c>
      <c r="G418" s="17"/>
      <c r="H418" s="17"/>
      <c r="I418" s="17"/>
      <c r="J418" s="17"/>
    </row>
    <row r="419" spans="1:12" ht="22.5" x14ac:dyDescent="0.2">
      <c r="A419" s="15" t="s">
        <v>815</v>
      </c>
      <c r="B419" s="16" t="s">
        <v>1200</v>
      </c>
      <c r="C419" s="16" t="s">
        <v>1201</v>
      </c>
      <c r="D419" s="16" t="s">
        <v>24</v>
      </c>
      <c r="E419" s="17"/>
      <c r="F419" s="17">
        <v>9397.34</v>
      </c>
      <c r="G419" s="17"/>
      <c r="H419" s="17">
        <v>9397.34</v>
      </c>
      <c r="I419" s="17"/>
      <c r="J419" s="17">
        <v>100</v>
      </c>
    </row>
    <row r="420" spans="1:12" ht="22.5" x14ac:dyDescent="0.2">
      <c r="A420" s="15" t="s">
        <v>815</v>
      </c>
      <c r="B420" s="16" t="s">
        <v>1200</v>
      </c>
      <c r="C420" s="16" t="s">
        <v>1202</v>
      </c>
      <c r="D420" s="16" t="s">
        <v>24</v>
      </c>
      <c r="E420" s="17"/>
      <c r="F420" s="17"/>
      <c r="G420" s="17">
        <v>250.63499999999999</v>
      </c>
      <c r="H420" s="17">
        <v>250.63499999999999</v>
      </c>
      <c r="I420" s="17"/>
      <c r="J420" s="17"/>
    </row>
    <row r="421" spans="1:12" ht="28.15" customHeight="1" x14ac:dyDescent="0.2">
      <c r="A421" s="25" t="s">
        <v>349</v>
      </c>
      <c r="B421" s="26" t="s">
        <v>350</v>
      </c>
      <c r="C421" s="26"/>
      <c r="D421" s="26"/>
      <c r="E421" s="19"/>
      <c r="F421" s="19">
        <v>178.196</v>
      </c>
      <c r="G421" s="223">
        <v>-25</v>
      </c>
      <c r="H421" s="19">
        <v>153.196</v>
      </c>
      <c r="I421" s="19"/>
      <c r="J421" s="19">
        <v>85.971000000000004</v>
      </c>
      <c r="K421" s="224"/>
      <c r="L421" s="20"/>
    </row>
    <row r="422" spans="1:12" ht="22.5" x14ac:dyDescent="0.2">
      <c r="A422" s="11" t="s">
        <v>351</v>
      </c>
      <c r="B422" s="12" t="s">
        <v>820</v>
      </c>
      <c r="C422" s="12"/>
      <c r="D422" s="12"/>
      <c r="E422" s="13"/>
      <c r="F422" s="13">
        <v>178.196</v>
      </c>
      <c r="G422" s="13">
        <v>-25</v>
      </c>
      <c r="H422" s="13">
        <v>153.196</v>
      </c>
      <c r="I422" s="13"/>
      <c r="J422" s="13">
        <v>85.971000000000004</v>
      </c>
    </row>
    <row r="423" spans="1:12" ht="22.5" x14ac:dyDescent="0.2">
      <c r="A423" s="11" t="s">
        <v>351</v>
      </c>
      <c r="B423" s="12" t="s">
        <v>823</v>
      </c>
      <c r="C423" s="12"/>
      <c r="D423" s="12"/>
      <c r="E423" s="13"/>
      <c r="F423" s="13">
        <v>178.196</v>
      </c>
      <c r="G423" s="13">
        <v>-25</v>
      </c>
      <c r="H423" s="13">
        <v>153.196</v>
      </c>
      <c r="I423" s="13"/>
      <c r="J423" s="13">
        <v>85.971000000000004</v>
      </c>
    </row>
    <row r="424" spans="1:12" ht="22.5" x14ac:dyDescent="0.2">
      <c r="A424" s="15" t="s">
        <v>351</v>
      </c>
      <c r="B424" s="16" t="s">
        <v>825</v>
      </c>
      <c r="C424" s="16" t="s">
        <v>23</v>
      </c>
      <c r="D424" s="16" t="s">
        <v>24</v>
      </c>
      <c r="E424" s="17"/>
      <c r="F424" s="17">
        <v>178.196</v>
      </c>
      <c r="G424" s="17">
        <v>-25</v>
      </c>
      <c r="H424" s="17">
        <v>153.196</v>
      </c>
      <c r="I424" s="17"/>
      <c r="J424" s="17">
        <v>85.971000000000004</v>
      </c>
    </row>
    <row r="425" spans="1:12" ht="49.5" customHeight="1" x14ac:dyDescent="0.2">
      <c r="A425" s="25" t="s">
        <v>1203</v>
      </c>
      <c r="B425" s="26" t="s">
        <v>1204</v>
      </c>
      <c r="C425" s="26"/>
      <c r="D425" s="26"/>
      <c r="E425" s="19"/>
      <c r="F425" s="19">
        <v>680.20500000000004</v>
      </c>
      <c r="G425" s="223"/>
      <c r="H425" s="19">
        <v>680.20500000000004</v>
      </c>
      <c r="I425" s="19"/>
      <c r="J425" s="19">
        <v>100</v>
      </c>
      <c r="K425" s="224"/>
      <c r="L425" s="20"/>
    </row>
    <row r="426" spans="1:12" ht="78.75" x14ac:dyDescent="0.2">
      <c r="A426" s="14" t="s">
        <v>1012</v>
      </c>
      <c r="B426" s="12" t="s">
        <v>1205</v>
      </c>
      <c r="C426" s="12"/>
      <c r="D426" s="12"/>
      <c r="E426" s="13"/>
      <c r="F426" s="13">
        <v>680.20500000000004</v>
      </c>
      <c r="G426" s="13"/>
      <c r="H426" s="13">
        <v>680.20500000000004</v>
      </c>
      <c r="I426" s="13"/>
      <c r="J426" s="13">
        <v>100</v>
      </c>
    </row>
    <row r="427" spans="1:12" ht="78.75" x14ac:dyDescent="0.2">
      <c r="A427" s="14" t="s">
        <v>1206</v>
      </c>
      <c r="B427" s="12" t="s">
        <v>1207</v>
      </c>
      <c r="C427" s="12"/>
      <c r="D427" s="12"/>
      <c r="E427" s="13"/>
      <c r="F427" s="13">
        <v>680.20500000000004</v>
      </c>
      <c r="G427" s="13"/>
      <c r="H427" s="13">
        <v>680.20500000000004</v>
      </c>
      <c r="I427" s="13"/>
      <c r="J427" s="13">
        <v>100</v>
      </c>
    </row>
    <row r="428" spans="1:12" ht="33.75" x14ac:dyDescent="0.2">
      <c r="A428" s="11" t="s">
        <v>1013</v>
      </c>
      <c r="B428" s="12" t="s">
        <v>1208</v>
      </c>
      <c r="C428" s="12"/>
      <c r="D428" s="12"/>
      <c r="E428" s="13"/>
      <c r="F428" s="13">
        <v>649.01599999999996</v>
      </c>
      <c r="G428" s="13"/>
      <c r="H428" s="13">
        <v>649.01599999999996</v>
      </c>
      <c r="I428" s="13"/>
      <c r="J428" s="13">
        <v>100</v>
      </c>
    </row>
    <row r="429" spans="1:12" ht="33.75" x14ac:dyDescent="0.2">
      <c r="A429" s="11" t="s">
        <v>1209</v>
      </c>
      <c r="B429" s="12" t="s">
        <v>1210</v>
      </c>
      <c r="C429" s="12"/>
      <c r="D429" s="12"/>
      <c r="E429" s="13"/>
      <c r="F429" s="13">
        <v>649.01599999999996</v>
      </c>
      <c r="G429" s="13"/>
      <c r="H429" s="13">
        <v>649.01599999999996</v>
      </c>
      <c r="I429" s="13"/>
      <c r="J429" s="13">
        <v>100</v>
      </c>
    </row>
    <row r="430" spans="1:12" ht="22.5" x14ac:dyDescent="0.2">
      <c r="A430" s="15" t="s">
        <v>1209</v>
      </c>
      <c r="B430" s="16" t="s">
        <v>1211</v>
      </c>
      <c r="C430" s="16" t="s">
        <v>23</v>
      </c>
      <c r="D430" s="16" t="s">
        <v>24</v>
      </c>
      <c r="E430" s="17"/>
      <c r="F430" s="17">
        <v>649.01599999999996</v>
      </c>
      <c r="G430" s="17"/>
      <c r="H430" s="17">
        <v>649.01599999999996</v>
      </c>
      <c r="I430" s="17"/>
      <c r="J430" s="17">
        <v>100</v>
      </c>
    </row>
    <row r="431" spans="1:12" ht="56.25" x14ac:dyDescent="0.2">
      <c r="A431" s="11" t="s">
        <v>1016</v>
      </c>
      <c r="B431" s="12" t="s">
        <v>1212</v>
      </c>
      <c r="C431" s="12"/>
      <c r="D431" s="12"/>
      <c r="E431" s="13"/>
      <c r="F431" s="13">
        <v>31.189</v>
      </c>
      <c r="G431" s="13"/>
      <c r="H431" s="13">
        <v>31.189</v>
      </c>
      <c r="I431" s="13"/>
      <c r="J431" s="13">
        <v>100</v>
      </c>
    </row>
    <row r="432" spans="1:12" ht="45" x14ac:dyDescent="0.2">
      <c r="A432" s="15" t="s">
        <v>1016</v>
      </c>
      <c r="B432" s="16" t="s">
        <v>1213</v>
      </c>
      <c r="C432" s="16" t="s">
        <v>23</v>
      </c>
      <c r="D432" s="16" t="s">
        <v>24</v>
      </c>
      <c r="E432" s="17"/>
      <c r="F432" s="17">
        <v>31.189</v>
      </c>
      <c r="G432" s="17"/>
      <c r="H432" s="17">
        <v>31.189</v>
      </c>
      <c r="I432" s="17"/>
      <c r="J432" s="17">
        <v>100</v>
      </c>
    </row>
    <row r="433" spans="1:12" ht="49.5" customHeight="1" x14ac:dyDescent="0.2">
      <c r="A433" s="25" t="s">
        <v>353</v>
      </c>
      <c r="B433" s="26" t="s">
        <v>354</v>
      </c>
      <c r="C433" s="26"/>
      <c r="D433" s="26"/>
      <c r="E433" s="19"/>
      <c r="F433" s="19">
        <v>-3333.0590000000002</v>
      </c>
      <c r="G433" s="223">
        <v>-163.47999999999999</v>
      </c>
      <c r="H433" s="19">
        <v>-4181.366</v>
      </c>
      <c r="I433" s="19"/>
      <c r="J433" s="19">
        <v>125.45099999999999</v>
      </c>
      <c r="K433" s="224"/>
      <c r="L433" s="20"/>
    </row>
    <row r="434" spans="1:12" ht="45" x14ac:dyDescent="0.2">
      <c r="A434" s="11" t="s">
        <v>355</v>
      </c>
      <c r="B434" s="12" t="s">
        <v>826</v>
      </c>
      <c r="C434" s="12"/>
      <c r="D434" s="12"/>
      <c r="E434" s="13"/>
      <c r="F434" s="13">
        <v>-3333.0590000000002</v>
      </c>
      <c r="G434" s="13">
        <v>-163.47999999999999</v>
      </c>
      <c r="H434" s="13">
        <v>-4181.366</v>
      </c>
      <c r="I434" s="13"/>
      <c r="J434" s="13">
        <v>125.45099999999999</v>
      </c>
    </row>
    <row r="435" spans="1:12" ht="33.75" x14ac:dyDescent="0.2">
      <c r="A435" s="11" t="s">
        <v>1019</v>
      </c>
      <c r="B435" s="12" t="s">
        <v>1214</v>
      </c>
      <c r="C435" s="12"/>
      <c r="D435" s="12"/>
      <c r="E435" s="13"/>
      <c r="F435" s="13"/>
      <c r="G435" s="13"/>
      <c r="H435" s="13">
        <v>-494.20100000000002</v>
      </c>
      <c r="I435" s="13"/>
      <c r="J435" s="13"/>
    </row>
    <row r="436" spans="1:12" ht="33.75" x14ac:dyDescent="0.2">
      <c r="A436" s="15" t="s">
        <v>1019</v>
      </c>
      <c r="B436" s="16" t="s">
        <v>1215</v>
      </c>
      <c r="C436" s="16" t="s">
        <v>23</v>
      </c>
      <c r="D436" s="16" t="s">
        <v>24</v>
      </c>
      <c r="E436" s="17"/>
      <c r="F436" s="17"/>
      <c r="G436" s="17"/>
      <c r="H436" s="17">
        <v>-494.20100000000002</v>
      </c>
      <c r="I436" s="17"/>
      <c r="J436" s="17"/>
    </row>
    <row r="437" spans="1:12" ht="56.25" x14ac:dyDescent="0.2">
      <c r="A437" s="11" t="s">
        <v>1022</v>
      </c>
      <c r="B437" s="12" t="s">
        <v>1216</v>
      </c>
      <c r="C437" s="12"/>
      <c r="D437" s="12"/>
      <c r="E437" s="13"/>
      <c r="F437" s="13">
        <v>-1.2290000000000001</v>
      </c>
      <c r="G437" s="13"/>
      <c r="H437" s="13">
        <v>-1.2290000000000001</v>
      </c>
      <c r="I437" s="13"/>
      <c r="J437" s="13">
        <v>100</v>
      </c>
    </row>
    <row r="438" spans="1:12" ht="56.25" x14ac:dyDescent="0.2">
      <c r="A438" s="15" t="s">
        <v>1022</v>
      </c>
      <c r="B438" s="16" t="s">
        <v>1217</v>
      </c>
      <c r="C438" s="16" t="s">
        <v>23</v>
      </c>
      <c r="D438" s="16" t="s">
        <v>24</v>
      </c>
      <c r="E438" s="17"/>
      <c r="F438" s="17">
        <v>-1.2290000000000001</v>
      </c>
      <c r="G438" s="17"/>
      <c r="H438" s="17">
        <v>-1.2290000000000001</v>
      </c>
      <c r="I438" s="17"/>
      <c r="J438" s="17">
        <v>100</v>
      </c>
    </row>
    <row r="439" spans="1:12" ht="45" x14ac:dyDescent="0.2">
      <c r="A439" s="11" t="s">
        <v>433</v>
      </c>
      <c r="B439" s="12" t="s">
        <v>827</v>
      </c>
      <c r="C439" s="12"/>
      <c r="D439" s="12"/>
      <c r="E439" s="13"/>
      <c r="F439" s="13">
        <v>-3331.83</v>
      </c>
      <c r="G439" s="13">
        <v>-163.47999999999999</v>
      </c>
      <c r="H439" s="13">
        <v>-3685.9360000000001</v>
      </c>
      <c r="I439" s="13"/>
      <c r="J439" s="13">
        <v>110.628</v>
      </c>
    </row>
    <row r="440" spans="1:12" ht="45" x14ac:dyDescent="0.2">
      <c r="A440" s="15" t="s">
        <v>433</v>
      </c>
      <c r="B440" s="16" t="s">
        <v>1218</v>
      </c>
      <c r="C440" s="16" t="s">
        <v>23</v>
      </c>
      <c r="D440" s="16" t="s">
        <v>24</v>
      </c>
      <c r="E440" s="17"/>
      <c r="F440" s="17">
        <v>-494.20100000000002</v>
      </c>
      <c r="G440" s="17"/>
      <c r="H440" s="17"/>
      <c r="I440" s="17"/>
      <c r="J440" s="17"/>
    </row>
    <row r="441" spans="1:12" ht="45" x14ac:dyDescent="0.2">
      <c r="A441" s="15" t="s">
        <v>433</v>
      </c>
      <c r="B441" s="16" t="s">
        <v>828</v>
      </c>
      <c r="C441" s="16" t="s">
        <v>23</v>
      </c>
      <c r="D441" s="16" t="s">
        <v>24</v>
      </c>
      <c r="E441" s="17"/>
      <c r="F441" s="17">
        <v>-2126.9490000000001</v>
      </c>
      <c r="G441" s="17">
        <v>-163.47999999999999</v>
      </c>
      <c r="H441" s="17">
        <v>-2975.2570000000001</v>
      </c>
      <c r="I441" s="17"/>
      <c r="J441" s="17">
        <v>139.88399999999999</v>
      </c>
    </row>
    <row r="442" spans="1:12" ht="45" x14ac:dyDescent="0.2">
      <c r="A442" s="15" t="s">
        <v>433</v>
      </c>
      <c r="B442" s="16" t="s">
        <v>829</v>
      </c>
      <c r="C442" s="16" t="s">
        <v>23</v>
      </c>
      <c r="D442" s="16" t="s">
        <v>24</v>
      </c>
      <c r="E442" s="17"/>
      <c r="F442" s="17">
        <v>-74.873000000000005</v>
      </c>
      <c r="G442" s="17"/>
      <c r="H442" s="17">
        <v>-74.873000000000005</v>
      </c>
      <c r="I442" s="17"/>
      <c r="J442" s="17">
        <v>100</v>
      </c>
    </row>
    <row r="443" spans="1:12" ht="45" x14ac:dyDescent="0.2">
      <c r="A443" s="15" t="s">
        <v>433</v>
      </c>
      <c r="B443" s="16" t="s">
        <v>830</v>
      </c>
      <c r="C443" s="16" t="s">
        <v>23</v>
      </c>
      <c r="D443" s="16" t="s">
        <v>24</v>
      </c>
      <c r="E443" s="17"/>
      <c r="F443" s="17">
        <v>-245.904</v>
      </c>
      <c r="G443" s="17"/>
      <c r="H443" s="17">
        <v>-245.904</v>
      </c>
      <c r="I443" s="17"/>
      <c r="J443" s="17">
        <v>100</v>
      </c>
    </row>
    <row r="444" spans="1:12" ht="45" x14ac:dyDescent="0.2">
      <c r="A444" s="15" t="s">
        <v>433</v>
      </c>
      <c r="B444" s="16" t="s">
        <v>831</v>
      </c>
      <c r="C444" s="16" t="s">
        <v>23</v>
      </c>
      <c r="D444" s="16" t="s">
        <v>24</v>
      </c>
      <c r="E444" s="17"/>
      <c r="F444" s="17">
        <v>-380.09500000000003</v>
      </c>
      <c r="G444" s="17"/>
      <c r="H444" s="17">
        <v>-380.09500000000003</v>
      </c>
      <c r="I444" s="17"/>
      <c r="J444" s="17">
        <v>100</v>
      </c>
    </row>
    <row r="445" spans="1:12" ht="45" x14ac:dyDescent="0.2">
      <c r="A445" s="15" t="s">
        <v>433</v>
      </c>
      <c r="B445" s="16" t="s">
        <v>832</v>
      </c>
      <c r="C445" s="16" t="s">
        <v>23</v>
      </c>
      <c r="D445" s="16" t="s">
        <v>24</v>
      </c>
      <c r="E445" s="17"/>
      <c r="F445" s="17">
        <v>-6.8920000000000003</v>
      </c>
      <c r="G445" s="17"/>
      <c r="H445" s="17">
        <v>-6.8920000000000003</v>
      </c>
      <c r="I445" s="17"/>
      <c r="J445" s="17">
        <v>100</v>
      </c>
    </row>
    <row r="446" spans="1:12" ht="45" x14ac:dyDescent="0.2">
      <c r="A446" s="15" t="s">
        <v>433</v>
      </c>
      <c r="B446" s="16" t="s">
        <v>1219</v>
      </c>
      <c r="C446" s="16" t="s">
        <v>23</v>
      </c>
      <c r="D446" s="16" t="s">
        <v>24</v>
      </c>
      <c r="E446" s="17"/>
      <c r="F446" s="17">
        <v>-2.9159999999999999</v>
      </c>
      <c r="G446" s="17"/>
      <c r="H446" s="17">
        <v>-2.9159999999999999</v>
      </c>
      <c r="I446" s="17"/>
      <c r="J446" s="17">
        <v>100</v>
      </c>
    </row>
    <row r="447" spans="1:12" ht="27" customHeight="1" x14ac:dyDescent="0.2">
      <c r="A447" s="25" t="s">
        <v>356</v>
      </c>
      <c r="B447" s="26"/>
      <c r="C447" s="26"/>
      <c r="D447" s="26"/>
      <c r="E447" s="19">
        <v>2617823.44</v>
      </c>
      <c r="F447" s="19">
        <v>2587962.54</v>
      </c>
      <c r="G447" s="223">
        <v>186407.465</v>
      </c>
      <c r="H447" s="19">
        <v>1721655.155</v>
      </c>
      <c r="I447" s="19">
        <v>65.766999999999996</v>
      </c>
      <c r="J447" s="19">
        <v>66.525999999999996</v>
      </c>
      <c r="K447" s="224"/>
      <c r="L447" s="20"/>
    </row>
    <row r="449" spans="8:8" ht="12.75" customHeight="1" x14ac:dyDescent="0.2">
      <c r="H449" s="20">
        <f>H447-H378</f>
        <v>798090.10700000008</v>
      </c>
    </row>
    <row r="450" spans="8:8" ht="12.75" customHeight="1" x14ac:dyDescent="0.2">
      <c r="H450">
        <f>H13/H449*100</f>
        <v>53.911935785967579</v>
      </c>
    </row>
  </sheetData>
  <mergeCells count="14">
    <mergeCell ref="B9:J9"/>
    <mergeCell ref="A2:H2"/>
    <mergeCell ref="A4:J4"/>
    <mergeCell ref="A5:J5"/>
    <mergeCell ref="B7:J7"/>
    <mergeCell ref="B8:J8"/>
    <mergeCell ref="G11:G12"/>
    <mergeCell ref="H11:H12"/>
    <mergeCell ref="A11:A12"/>
    <mergeCell ref="B11:B12"/>
    <mergeCell ref="C11:C12"/>
    <mergeCell ref="D11:D12"/>
    <mergeCell ref="E11:E12"/>
    <mergeCell ref="F11:F12"/>
  </mergeCells>
  <pageMargins left="0.59055118110236227" right="0.59055118110236227" top="0.59055118110236227" bottom="0.59055118110236227" header="0" footer="0"/>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68"/>
  <sheetViews>
    <sheetView showGridLines="0" tabSelected="1" view="pageBreakPreview" zoomScaleSheetLayoutView="100" workbookViewId="0">
      <pane xSplit="1" ySplit="3" topLeftCell="B325" activePane="bottomRight" state="frozen"/>
      <selection pane="topRight" activeCell="B1" sqref="B1"/>
      <selection pane="bottomLeft" activeCell="A4" sqref="A4"/>
      <selection pane="bottomRight" activeCell="D329" sqref="D329"/>
    </sheetView>
  </sheetViews>
  <sheetFormatPr defaultRowHeight="12.75" customHeight="1" x14ac:dyDescent="0.2"/>
  <cols>
    <col min="1" max="1" width="32.42578125" style="37" customWidth="1"/>
    <col min="2" max="2" width="13" style="37" customWidth="1"/>
    <col min="3" max="3" width="21" style="37" customWidth="1"/>
    <col min="4" max="4" width="31.42578125" style="37" customWidth="1"/>
    <col min="5" max="5" width="20" style="37" customWidth="1"/>
    <col min="6" max="6" width="16.7109375" style="86" hidden="1" customWidth="1"/>
    <col min="7" max="7" width="18.28515625" style="111" customWidth="1"/>
    <col min="8" max="8" width="18.140625" style="198" customWidth="1"/>
    <col min="9" max="9" width="15.85546875" style="89" hidden="1" customWidth="1"/>
    <col min="10" max="12" width="16.42578125" style="90" hidden="1" customWidth="1"/>
    <col min="13" max="13" width="16.42578125" style="90" customWidth="1"/>
    <col min="14" max="14" width="11.28515625" style="34" bestFit="1" customWidth="1"/>
    <col min="15" max="15" width="13.5703125" style="35" bestFit="1" customWidth="1"/>
    <col min="16" max="17" width="12" style="36" customWidth="1"/>
    <col min="18" max="23" width="12" style="37" customWidth="1"/>
    <col min="24" max="16384" width="9.140625" style="37"/>
  </cols>
  <sheetData>
    <row r="1" spans="1:24" ht="34.5" customHeight="1" x14ac:dyDescent="0.2">
      <c r="A1" s="284" t="s">
        <v>894</v>
      </c>
      <c r="B1" s="284"/>
      <c r="C1" s="284"/>
      <c r="D1" s="284"/>
      <c r="E1" s="284"/>
      <c r="F1" s="284"/>
      <c r="G1" s="284"/>
      <c r="H1" s="284"/>
      <c r="I1" s="284"/>
      <c r="J1" s="284"/>
      <c r="K1" s="284"/>
      <c r="L1" s="125" t="s">
        <v>363</v>
      </c>
      <c r="M1" s="33"/>
    </row>
    <row r="2" spans="1:24" ht="24.75" customHeight="1" x14ac:dyDescent="0.2">
      <c r="A2" s="285" t="s">
        <v>357</v>
      </c>
      <c r="B2" s="285" t="s">
        <v>1225</v>
      </c>
      <c r="C2" s="285" t="s">
        <v>360</v>
      </c>
      <c r="D2" s="285"/>
      <c r="E2" s="285" t="s">
        <v>359</v>
      </c>
      <c r="F2" s="286" t="s">
        <v>493</v>
      </c>
      <c r="G2" s="287" t="s">
        <v>1223</v>
      </c>
      <c r="H2" s="287" t="s">
        <v>898</v>
      </c>
      <c r="I2" s="288" t="s">
        <v>674</v>
      </c>
      <c r="J2" s="288" t="s">
        <v>362</v>
      </c>
      <c r="K2" s="288"/>
      <c r="L2" s="288"/>
      <c r="M2" s="38"/>
    </row>
    <row r="3" spans="1:24" ht="86.25" customHeight="1" x14ac:dyDescent="0.2">
      <c r="A3" s="285"/>
      <c r="B3" s="285"/>
      <c r="C3" s="171" t="s">
        <v>361</v>
      </c>
      <c r="D3" s="171" t="s">
        <v>358</v>
      </c>
      <c r="E3" s="285"/>
      <c r="F3" s="286"/>
      <c r="G3" s="287"/>
      <c r="H3" s="287"/>
      <c r="I3" s="288"/>
      <c r="J3" s="172" t="s">
        <v>675</v>
      </c>
      <c r="K3" s="172" t="s">
        <v>676</v>
      </c>
      <c r="L3" s="172" t="s">
        <v>677</v>
      </c>
      <c r="M3" s="38"/>
    </row>
    <row r="4" spans="1:24" s="104" customFormat="1" ht="22.5" customHeight="1" x14ac:dyDescent="0.2">
      <c r="A4" s="91" t="s">
        <v>19</v>
      </c>
      <c r="B4" s="97"/>
      <c r="C4" s="95"/>
      <c r="D4" s="98"/>
      <c r="E4" s="98"/>
      <c r="F4" s="96"/>
      <c r="G4" s="99"/>
      <c r="H4" s="99"/>
      <c r="I4" s="100"/>
      <c r="J4" s="99"/>
      <c r="K4" s="99"/>
      <c r="L4" s="99"/>
      <c r="M4" s="101"/>
      <c r="N4" s="102"/>
      <c r="O4" s="103">
        <v>441183.3</v>
      </c>
      <c r="P4" s="103">
        <v>475154.4</v>
      </c>
      <c r="Q4" s="103">
        <v>512216.4</v>
      </c>
    </row>
    <row r="5" spans="1:24" ht="96" x14ac:dyDescent="0.2">
      <c r="A5" s="91"/>
      <c r="B5" s="92"/>
      <c r="C5" s="93" t="s">
        <v>834</v>
      </c>
      <c r="D5" s="94" t="s">
        <v>365</v>
      </c>
      <c r="E5" s="95"/>
      <c r="F5" s="96"/>
      <c r="G5" s="159">
        <f>G6</f>
        <v>406099.3</v>
      </c>
      <c r="H5" s="159">
        <f>H6</f>
        <v>312578.7</v>
      </c>
      <c r="I5" s="151">
        <v>401504.8</v>
      </c>
      <c r="J5" s="151">
        <f>J6</f>
        <v>429147.8</v>
      </c>
      <c r="K5" s="151">
        <f t="shared" ref="K5:L5" si="0">K6</f>
        <v>462192.1</v>
      </c>
      <c r="L5" s="151">
        <f t="shared" si="0"/>
        <v>498243.1</v>
      </c>
      <c r="M5" s="34">
        <f>H5+H11+H16+H21</f>
        <v>320338.90000000002</v>
      </c>
      <c r="N5" s="34">
        <f>I5+I11+I16+I21</f>
        <v>413092.89999999997</v>
      </c>
      <c r="O5" s="34">
        <f>J5+J11+J16+J21</f>
        <v>441183.3</v>
      </c>
      <c r="P5" s="34">
        <f t="shared" ref="P5" si="1">K5+K11+K16+K21</f>
        <v>475154.39999999997</v>
      </c>
      <c r="Q5" s="34">
        <f>L5+L11+L16+L21</f>
        <v>512216.4</v>
      </c>
      <c r="R5" s="40"/>
      <c r="S5" s="40"/>
      <c r="T5" s="40"/>
      <c r="U5" s="40"/>
      <c r="V5" s="40"/>
      <c r="W5" s="40"/>
      <c r="X5" s="40"/>
    </row>
    <row r="6" spans="1:24" ht="132" x14ac:dyDescent="0.2">
      <c r="A6" s="113" t="s">
        <v>25</v>
      </c>
      <c r="B6" s="276" t="s">
        <v>364</v>
      </c>
      <c r="C6" s="231" t="s">
        <v>496</v>
      </c>
      <c r="D6" s="290" t="s">
        <v>365</v>
      </c>
      <c r="E6" s="231" t="s">
        <v>366</v>
      </c>
      <c r="F6" s="279">
        <v>332277.36599999998</v>
      </c>
      <c r="G6" s="282">
        <v>406099.3</v>
      </c>
      <c r="H6" s="264">
        <v>312578.7</v>
      </c>
      <c r="I6" s="252">
        <v>401504.8</v>
      </c>
      <c r="J6" s="252">
        <v>429147.8</v>
      </c>
      <c r="K6" s="252">
        <v>462192.1</v>
      </c>
      <c r="L6" s="252">
        <v>498243.1</v>
      </c>
      <c r="M6" s="41">
        <f>H5/M5</f>
        <v>0.97577503075648941</v>
      </c>
      <c r="N6" s="42"/>
      <c r="O6" s="43">
        <f>O4*M6</f>
        <v>430495.6481267495</v>
      </c>
      <c r="P6" s="43">
        <f>P4*M6</f>
        <v>463643.79927408131</v>
      </c>
      <c r="Q6" s="44">
        <f>Q4*M6</f>
        <v>499807.97346397833</v>
      </c>
    </row>
    <row r="7" spans="1:24" ht="108" x14ac:dyDescent="0.2">
      <c r="A7" s="113" t="s">
        <v>28</v>
      </c>
      <c r="B7" s="289"/>
      <c r="C7" s="232"/>
      <c r="D7" s="291"/>
      <c r="E7" s="232"/>
      <c r="F7" s="280"/>
      <c r="G7" s="283"/>
      <c r="H7" s="265"/>
      <c r="I7" s="256"/>
      <c r="J7" s="256"/>
      <c r="K7" s="256"/>
      <c r="L7" s="256"/>
      <c r="M7" s="41">
        <f>H11/M5</f>
        <v>4.2261492438164698E-3</v>
      </c>
      <c r="O7" s="44">
        <f>O4*M7</f>
        <v>1864.5064696794548</v>
      </c>
      <c r="P7" s="44">
        <f>P4*M7</f>
        <v>2008.0734082560684</v>
      </c>
      <c r="Q7" s="44">
        <f>Q4*M7</f>
        <v>2164.7029515303943</v>
      </c>
    </row>
    <row r="8" spans="1:24" ht="132" x14ac:dyDescent="0.2">
      <c r="A8" s="113" t="s">
        <v>31</v>
      </c>
      <c r="B8" s="289"/>
      <c r="C8" s="232"/>
      <c r="D8" s="291"/>
      <c r="E8" s="232"/>
      <c r="F8" s="280"/>
      <c r="G8" s="283"/>
      <c r="H8" s="265"/>
      <c r="I8" s="256"/>
      <c r="J8" s="256"/>
      <c r="K8" s="256"/>
      <c r="L8" s="256"/>
      <c r="M8" s="41">
        <f>H16/M5</f>
        <v>5.2815939618947308E-3</v>
      </c>
      <c r="O8" s="44">
        <f>M8*O4</f>
        <v>2330.1510533687915</v>
      </c>
      <c r="P8" s="44">
        <f>P4*M8</f>
        <v>2509.5726100077136</v>
      </c>
      <c r="Q8" s="44">
        <f>Q4*M8</f>
        <v>2705.3190454234564</v>
      </c>
    </row>
    <row r="9" spans="1:24" ht="108" x14ac:dyDescent="0.2">
      <c r="A9" s="113" t="s">
        <v>34</v>
      </c>
      <c r="B9" s="289"/>
      <c r="C9" s="232"/>
      <c r="D9" s="291"/>
      <c r="E9" s="232"/>
      <c r="F9" s="281"/>
      <c r="G9" s="283"/>
      <c r="H9" s="265"/>
      <c r="I9" s="256"/>
      <c r="J9" s="256"/>
      <c r="K9" s="256"/>
      <c r="L9" s="256"/>
      <c r="M9" s="41">
        <f>H21/M5</f>
        <v>1.4717226037799342E-2</v>
      </c>
      <c r="O9" s="44">
        <f>O4*M9</f>
        <v>6492.9943502022379</v>
      </c>
      <c r="P9" s="44">
        <f>P4*M9</f>
        <v>6992.9547076549243</v>
      </c>
      <c r="Q9" s="44">
        <f>Q4*M9</f>
        <v>7538.404539067843</v>
      </c>
    </row>
    <row r="10" spans="1:24" ht="137.25" customHeight="1" x14ac:dyDescent="0.2">
      <c r="A10" s="113" t="s">
        <v>679</v>
      </c>
      <c r="B10" s="289"/>
      <c r="C10" s="232"/>
      <c r="D10" s="291"/>
      <c r="E10" s="232"/>
      <c r="F10" s="170"/>
      <c r="G10" s="283"/>
      <c r="H10" s="265"/>
      <c r="I10" s="256"/>
      <c r="J10" s="256"/>
      <c r="K10" s="256"/>
      <c r="L10" s="256"/>
      <c r="M10" s="41"/>
      <c r="O10" s="44"/>
      <c r="P10" s="44"/>
      <c r="Q10" s="44"/>
    </row>
    <row r="11" spans="1:24" ht="132" x14ac:dyDescent="0.2">
      <c r="A11" s="113"/>
      <c r="B11" s="168"/>
      <c r="C11" s="114" t="s">
        <v>835</v>
      </c>
      <c r="D11" s="115" t="s">
        <v>367</v>
      </c>
      <c r="E11" s="114"/>
      <c r="F11" s="48"/>
      <c r="G11" s="112">
        <f>G12</f>
        <v>1298.4000000000001</v>
      </c>
      <c r="H11" s="112">
        <f>H12</f>
        <v>1353.8</v>
      </c>
      <c r="I11" s="49">
        <f t="shared" ref="I11:L11" si="2">I12</f>
        <v>1555.1</v>
      </c>
      <c r="J11" s="49">
        <f t="shared" si="2"/>
        <v>1537.2</v>
      </c>
      <c r="K11" s="49">
        <f t="shared" si="2"/>
        <v>1655.6</v>
      </c>
      <c r="L11" s="49">
        <f t="shared" si="2"/>
        <v>1784.7</v>
      </c>
      <c r="M11" s="45"/>
      <c r="O11" s="42"/>
    </row>
    <row r="12" spans="1:24" ht="168" x14ac:dyDescent="0.2">
      <c r="A12" s="113" t="s">
        <v>40</v>
      </c>
      <c r="B12" s="276" t="s">
        <v>364</v>
      </c>
      <c r="C12" s="231" t="s">
        <v>497</v>
      </c>
      <c r="D12" s="267" t="s">
        <v>367</v>
      </c>
      <c r="E12" s="231" t="s">
        <v>366</v>
      </c>
      <c r="F12" s="279">
        <v>945.07100000000003</v>
      </c>
      <c r="G12" s="243">
        <v>1298.4000000000001</v>
      </c>
      <c r="H12" s="243">
        <v>1353.8</v>
      </c>
      <c r="I12" s="252">
        <v>1555.1</v>
      </c>
      <c r="J12" s="252">
        <v>1537.2</v>
      </c>
      <c r="K12" s="252">
        <v>1655.6</v>
      </c>
      <c r="L12" s="252">
        <v>1784.7</v>
      </c>
      <c r="M12" s="45"/>
      <c r="O12" s="42"/>
    </row>
    <row r="13" spans="1:24" ht="144" x14ac:dyDescent="0.2">
      <c r="A13" s="113" t="s">
        <v>43</v>
      </c>
      <c r="B13" s="277"/>
      <c r="C13" s="232"/>
      <c r="D13" s="268"/>
      <c r="E13" s="232"/>
      <c r="F13" s="280"/>
      <c r="G13" s="244"/>
      <c r="H13" s="244"/>
      <c r="I13" s="256"/>
      <c r="J13" s="256"/>
      <c r="K13" s="256"/>
      <c r="L13" s="256"/>
      <c r="M13" s="45"/>
      <c r="O13" s="42"/>
    </row>
    <row r="14" spans="1:24" ht="168" x14ac:dyDescent="0.2">
      <c r="A14" s="113" t="s">
        <v>46</v>
      </c>
      <c r="B14" s="277"/>
      <c r="C14" s="232"/>
      <c r="D14" s="268"/>
      <c r="E14" s="232"/>
      <c r="F14" s="280"/>
      <c r="G14" s="244"/>
      <c r="H14" s="244"/>
      <c r="I14" s="256"/>
      <c r="J14" s="256"/>
      <c r="K14" s="256"/>
      <c r="L14" s="256"/>
      <c r="M14" s="45"/>
      <c r="O14" s="42"/>
    </row>
    <row r="15" spans="1:24" ht="144" x14ac:dyDescent="0.2">
      <c r="A15" s="113" t="s">
        <v>49</v>
      </c>
      <c r="B15" s="278"/>
      <c r="C15" s="233"/>
      <c r="D15" s="269"/>
      <c r="E15" s="233"/>
      <c r="F15" s="281"/>
      <c r="G15" s="245"/>
      <c r="H15" s="245"/>
      <c r="I15" s="253"/>
      <c r="J15" s="253"/>
      <c r="K15" s="253"/>
      <c r="L15" s="253"/>
      <c r="M15" s="45"/>
      <c r="O15" s="42"/>
    </row>
    <row r="16" spans="1:24" ht="60" x14ac:dyDescent="0.2">
      <c r="A16" s="113"/>
      <c r="B16" s="168"/>
      <c r="C16" s="164" t="s">
        <v>836</v>
      </c>
      <c r="D16" s="167" t="s">
        <v>368</v>
      </c>
      <c r="E16" s="164"/>
      <c r="F16" s="170"/>
      <c r="G16" s="161">
        <f>G17</f>
        <v>1029</v>
      </c>
      <c r="H16" s="161">
        <f>H17</f>
        <v>1691.9</v>
      </c>
      <c r="I16" s="162">
        <f t="shared" ref="I16:L16" si="3">I17</f>
        <v>2721.5</v>
      </c>
      <c r="J16" s="162">
        <f t="shared" si="3"/>
        <v>1115.5999999999999</v>
      </c>
      <c r="K16" s="162">
        <f t="shared" si="3"/>
        <v>1201.5</v>
      </c>
      <c r="L16" s="162">
        <f t="shared" si="3"/>
        <v>1295.2</v>
      </c>
      <c r="M16" s="45"/>
      <c r="O16" s="42"/>
    </row>
    <row r="17" spans="1:17" ht="96" x14ac:dyDescent="0.2">
      <c r="A17" s="116" t="s">
        <v>53</v>
      </c>
      <c r="B17" s="276" t="s">
        <v>364</v>
      </c>
      <c r="C17" s="231" t="s">
        <v>495</v>
      </c>
      <c r="D17" s="254" t="s">
        <v>368</v>
      </c>
      <c r="E17" s="231" t="s">
        <v>366</v>
      </c>
      <c r="F17" s="279">
        <v>904.06500000000005</v>
      </c>
      <c r="G17" s="243">
        <v>1029</v>
      </c>
      <c r="H17" s="243">
        <v>1691.9</v>
      </c>
      <c r="I17" s="252">
        <v>2721.5</v>
      </c>
      <c r="J17" s="252">
        <v>1115.5999999999999</v>
      </c>
      <c r="K17" s="252">
        <v>1201.5</v>
      </c>
      <c r="L17" s="252">
        <v>1295.2</v>
      </c>
      <c r="M17" s="45"/>
    </row>
    <row r="18" spans="1:17" ht="72" x14ac:dyDescent="0.2">
      <c r="A18" s="116" t="s">
        <v>56</v>
      </c>
      <c r="B18" s="277"/>
      <c r="C18" s="232"/>
      <c r="D18" s="259"/>
      <c r="E18" s="232"/>
      <c r="F18" s="280"/>
      <c r="G18" s="244"/>
      <c r="H18" s="244"/>
      <c r="I18" s="256"/>
      <c r="J18" s="256"/>
      <c r="K18" s="256"/>
      <c r="L18" s="256"/>
      <c r="M18" s="45"/>
    </row>
    <row r="19" spans="1:17" ht="96" x14ac:dyDescent="0.2">
      <c r="A19" s="116" t="s">
        <v>59</v>
      </c>
      <c r="B19" s="277"/>
      <c r="C19" s="232"/>
      <c r="D19" s="259"/>
      <c r="E19" s="232"/>
      <c r="F19" s="280"/>
      <c r="G19" s="244"/>
      <c r="H19" s="244"/>
      <c r="I19" s="256"/>
      <c r="J19" s="256"/>
      <c r="K19" s="256"/>
      <c r="L19" s="256"/>
      <c r="M19" s="45"/>
    </row>
    <row r="20" spans="1:17" ht="60" x14ac:dyDescent="0.2">
      <c r="A20" s="116" t="s">
        <v>62</v>
      </c>
      <c r="B20" s="278"/>
      <c r="C20" s="233"/>
      <c r="D20" s="255"/>
      <c r="E20" s="233"/>
      <c r="F20" s="281"/>
      <c r="G20" s="245"/>
      <c r="H20" s="245"/>
      <c r="I20" s="253"/>
      <c r="J20" s="253"/>
      <c r="K20" s="253"/>
      <c r="L20" s="253"/>
      <c r="M20" s="45"/>
    </row>
    <row r="21" spans="1:17" ht="108" x14ac:dyDescent="0.2">
      <c r="A21" s="116"/>
      <c r="B21" s="169"/>
      <c r="C21" s="156" t="s">
        <v>837</v>
      </c>
      <c r="D21" s="158" t="s">
        <v>65</v>
      </c>
      <c r="E21" s="156"/>
      <c r="F21" s="163"/>
      <c r="G21" s="160">
        <f>G22</f>
        <v>7801.1</v>
      </c>
      <c r="H21" s="160">
        <f t="shared" ref="H21:L21" si="4">H22</f>
        <v>4714.5</v>
      </c>
      <c r="I21" s="152">
        <f t="shared" si="4"/>
        <v>7311.5</v>
      </c>
      <c r="J21" s="152">
        <f t="shared" si="4"/>
        <v>9382.7000000000007</v>
      </c>
      <c r="K21" s="152">
        <f t="shared" si="4"/>
        <v>10105.200000000001</v>
      </c>
      <c r="L21" s="152">
        <f t="shared" si="4"/>
        <v>10893.4</v>
      </c>
      <c r="M21" s="45"/>
    </row>
    <row r="22" spans="1:17" ht="144" x14ac:dyDescent="0.2">
      <c r="A22" s="113" t="s">
        <v>68</v>
      </c>
      <c r="B22" s="117" t="s">
        <v>638</v>
      </c>
      <c r="C22" s="114" t="s">
        <v>494</v>
      </c>
      <c r="D22" s="113" t="s">
        <v>65</v>
      </c>
      <c r="E22" s="114" t="s">
        <v>366</v>
      </c>
      <c r="F22" s="118">
        <v>5855.6239999999998</v>
      </c>
      <c r="G22" s="112">
        <v>7801.1</v>
      </c>
      <c r="H22" s="112">
        <v>4714.5</v>
      </c>
      <c r="I22" s="49">
        <v>7311.5</v>
      </c>
      <c r="J22" s="49">
        <v>9382.7000000000007</v>
      </c>
      <c r="K22" s="49">
        <v>10105.200000000001</v>
      </c>
      <c r="L22" s="49">
        <v>10893.4</v>
      </c>
      <c r="M22" s="45"/>
    </row>
    <row r="23" spans="1:17" ht="96" x14ac:dyDescent="0.2">
      <c r="A23" s="119" t="s">
        <v>378</v>
      </c>
      <c r="B23" s="117"/>
      <c r="C23" s="114"/>
      <c r="D23" s="113"/>
      <c r="E23" s="114"/>
      <c r="F23" s="120"/>
      <c r="G23" s="150"/>
      <c r="H23" s="150"/>
      <c r="I23" s="122"/>
      <c r="J23" s="123"/>
      <c r="K23" s="123"/>
      <c r="L23" s="123"/>
      <c r="M23" s="51"/>
      <c r="O23" s="52">
        <v>8309.7000000000007</v>
      </c>
      <c r="P23" s="52">
        <v>8391</v>
      </c>
      <c r="Q23" s="52">
        <v>8795.1</v>
      </c>
    </row>
    <row r="24" spans="1:17" ht="96" x14ac:dyDescent="0.2">
      <c r="A24" s="119"/>
      <c r="B24" s="153"/>
      <c r="C24" s="114" t="s">
        <v>838</v>
      </c>
      <c r="D24" s="113" t="s">
        <v>370</v>
      </c>
      <c r="E24" s="114"/>
      <c r="F24" s="120"/>
      <c r="G24" s="112">
        <f>G25</f>
        <v>3463.6</v>
      </c>
      <c r="H24" s="112">
        <f t="shared" ref="H24:L24" si="5">H25</f>
        <v>2579.3000000000002</v>
      </c>
      <c r="I24" s="49">
        <f t="shared" si="5"/>
        <v>3490.078</v>
      </c>
      <c r="J24" s="49">
        <f t="shared" si="5"/>
        <v>3795.5</v>
      </c>
      <c r="K24" s="49">
        <f t="shared" si="5"/>
        <v>3832.7</v>
      </c>
      <c r="L24" s="49">
        <f t="shared" si="5"/>
        <v>4017.2</v>
      </c>
      <c r="M24" s="34">
        <f>H24+H27+H30+H33</f>
        <v>5532.4000000000005</v>
      </c>
      <c r="N24" s="34">
        <f>I24+I27+I30+I33</f>
        <v>7641.0280000000002</v>
      </c>
      <c r="O24" s="34">
        <f>J24+J27+J30+J33</f>
        <v>8309.7000000000007</v>
      </c>
      <c r="P24" s="34">
        <f t="shared" ref="P24" si="6">K24+K27+K30+K33</f>
        <v>8391</v>
      </c>
      <c r="Q24" s="34">
        <f>L24+L27+L30+L33</f>
        <v>8795.1</v>
      </c>
    </row>
    <row r="25" spans="1:17" ht="90.75" customHeight="1" x14ac:dyDescent="0.2">
      <c r="A25" s="113" t="s">
        <v>378</v>
      </c>
      <c r="B25" s="273" t="s">
        <v>1226</v>
      </c>
      <c r="C25" s="114" t="s">
        <v>873</v>
      </c>
      <c r="D25" s="113" t="s">
        <v>370</v>
      </c>
      <c r="E25" s="114" t="s">
        <v>374</v>
      </c>
      <c r="F25" s="124">
        <v>0</v>
      </c>
      <c r="G25" s="112">
        <v>3463.6</v>
      </c>
      <c r="H25" s="112">
        <v>2579.3000000000002</v>
      </c>
      <c r="I25" s="49">
        <v>3490.078</v>
      </c>
      <c r="J25" s="49">
        <v>3795.5</v>
      </c>
      <c r="K25" s="49">
        <v>3832.7</v>
      </c>
      <c r="L25" s="49">
        <v>4017.2</v>
      </c>
      <c r="M25" s="45"/>
      <c r="N25" s="53">
        <f>I25/N24</f>
        <v>0.45675503348502322</v>
      </c>
      <c r="O25" s="42">
        <f>I27/N24</f>
        <v>2.4687777613169328E-3</v>
      </c>
      <c r="P25" s="42">
        <f>I30/N24</f>
        <v>0.61182579097995715</v>
      </c>
      <c r="Q25" s="42">
        <f>I33/N24</f>
        <v>-7.1049602226297304E-2</v>
      </c>
    </row>
    <row r="26" spans="1:17" ht="122.25" customHeight="1" x14ac:dyDescent="0.2">
      <c r="A26" s="119" t="s">
        <v>371</v>
      </c>
      <c r="B26" s="274"/>
      <c r="C26" s="114"/>
      <c r="D26" s="113"/>
      <c r="E26" s="114"/>
      <c r="F26" s="124"/>
      <c r="G26" s="112"/>
      <c r="H26" s="112"/>
      <c r="I26" s="49"/>
      <c r="J26" s="54"/>
      <c r="K26" s="54"/>
      <c r="L26" s="54"/>
      <c r="M26" s="45"/>
      <c r="N26" s="34">
        <f>Q23*N25</f>
        <v>4017.2061950041279</v>
      </c>
      <c r="O26" s="35">
        <f>Q23*O25</f>
        <v>21.713147288558556</v>
      </c>
      <c r="P26" s="55">
        <f>Q23*P25</f>
        <v>5381.0690142478215</v>
      </c>
      <c r="Q26" s="55">
        <f>Q23*Q25</f>
        <v>-624.8883565405074</v>
      </c>
    </row>
    <row r="27" spans="1:17" ht="108" x14ac:dyDescent="0.2">
      <c r="A27" s="113"/>
      <c r="B27" s="274"/>
      <c r="C27" s="114" t="s">
        <v>839</v>
      </c>
      <c r="D27" s="113" t="s">
        <v>371</v>
      </c>
      <c r="E27" s="114"/>
      <c r="F27" s="124"/>
      <c r="G27" s="112">
        <f>G28</f>
        <v>25.5</v>
      </c>
      <c r="H27" s="112">
        <f t="shared" ref="H27:L27" si="7">H28</f>
        <v>17.8</v>
      </c>
      <c r="I27" s="49">
        <f t="shared" si="7"/>
        <v>18.864000000000001</v>
      </c>
      <c r="J27" s="49">
        <f t="shared" si="7"/>
        <v>20.5</v>
      </c>
      <c r="K27" s="49">
        <f t="shared" si="7"/>
        <v>20.7</v>
      </c>
      <c r="L27" s="49">
        <f t="shared" si="7"/>
        <v>21.7</v>
      </c>
      <c r="M27" s="45"/>
    </row>
    <row r="28" spans="1:17" ht="168" x14ac:dyDescent="0.2">
      <c r="A28" s="113" t="s">
        <v>874</v>
      </c>
      <c r="B28" s="274"/>
      <c r="C28" s="114" t="s">
        <v>875</v>
      </c>
      <c r="D28" s="113" t="s">
        <v>371</v>
      </c>
      <c r="E28" s="114" t="s">
        <v>374</v>
      </c>
      <c r="F28" s="124">
        <v>0</v>
      </c>
      <c r="G28" s="112">
        <v>25.5</v>
      </c>
      <c r="H28" s="112">
        <v>17.8</v>
      </c>
      <c r="I28" s="49">
        <v>18.864000000000001</v>
      </c>
      <c r="J28" s="49">
        <v>20.5</v>
      </c>
      <c r="K28" s="49">
        <v>20.7</v>
      </c>
      <c r="L28" s="49">
        <v>21.7</v>
      </c>
      <c r="M28" s="45"/>
    </row>
    <row r="29" spans="1:17" ht="96" x14ac:dyDescent="0.2">
      <c r="A29" s="119" t="s">
        <v>372</v>
      </c>
      <c r="B29" s="274"/>
      <c r="C29" s="114"/>
      <c r="D29" s="113"/>
      <c r="E29" s="114"/>
      <c r="F29" s="124"/>
      <c r="G29" s="112"/>
      <c r="H29" s="112"/>
      <c r="I29" s="49"/>
      <c r="J29" s="54"/>
      <c r="K29" s="54"/>
      <c r="L29" s="54"/>
      <c r="M29" s="45"/>
    </row>
    <row r="30" spans="1:17" ht="96" x14ac:dyDescent="0.2">
      <c r="A30" s="113"/>
      <c r="B30" s="274"/>
      <c r="C30" s="114" t="s">
        <v>840</v>
      </c>
      <c r="D30" s="113" t="s">
        <v>372</v>
      </c>
      <c r="E30" s="114"/>
      <c r="F30" s="124"/>
      <c r="G30" s="112">
        <v>4627.3</v>
      </c>
      <c r="H30" s="112">
        <f t="shared" ref="H30:L30" si="8">H31</f>
        <v>3439.1</v>
      </c>
      <c r="I30" s="49">
        <f t="shared" si="8"/>
        <v>4674.9780000000001</v>
      </c>
      <c r="J30" s="49">
        <f t="shared" si="8"/>
        <v>5084.1000000000004</v>
      </c>
      <c r="K30" s="49">
        <f t="shared" si="8"/>
        <v>5133.8</v>
      </c>
      <c r="L30" s="49">
        <f t="shared" si="8"/>
        <v>5381.1</v>
      </c>
      <c r="M30" s="45"/>
    </row>
    <row r="31" spans="1:17" ht="144" x14ac:dyDescent="0.2">
      <c r="A31" s="113" t="s">
        <v>876</v>
      </c>
      <c r="B31" s="274"/>
      <c r="C31" s="114" t="s">
        <v>877</v>
      </c>
      <c r="D31" s="113" t="s">
        <v>372</v>
      </c>
      <c r="E31" s="114" t="s">
        <v>374</v>
      </c>
      <c r="F31" s="124">
        <v>0</v>
      </c>
      <c r="G31" s="112">
        <v>4624.3</v>
      </c>
      <c r="H31" s="112">
        <v>3439.1</v>
      </c>
      <c r="I31" s="49">
        <v>4674.9780000000001</v>
      </c>
      <c r="J31" s="49">
        <v>5084.1000000000004</v>
      </c>
      <c r="K31" s="49">
        <v>5133.8</v>
      </c>
      <c r="L31" s="49">
        <v>5381.1</v>
      </c>
      <c r="M31" s="45"/>
    </row>
    <row r="32" spans="1:17" ht="96" x14ac:dyDescent="0.2">
      <c r="A32" s="119" t="s">
        <v>373</v>
      </c>
      <c r="B32" s="274"/>
      <c r="C32" s="114"/>
      <c r="D32" s="113"/>
      <c r="E32" s="114"/>
      <c r="F32" s="124"/>
      <c r="G32" s="112"/>
      <c r="H32" s="112"/>
      <c r="I32" s="49"/>
      <c r="J32" s="54"/>
      <c r="K32" s="54"/>
      <c r="L32" s="54"/>
      <c r="M32" s="45"/>
    </row>
    <row r="33" spans="1:17" ht="96" x14ac:dyDescent="0.2">
      <c r="A33" s="113"/>
      <c r="B33" s="274"/>
      <c r="C33" s="114" t="s">
        <v>841</v>
      </c>
      <c r="D33" s="113" t="s">
        <v>373</v>
      </c>
      <c r="E33" s="114"/>
      <c r="F33" s="124"/>
      <c r="G33" s="112">
        <f>G34</f>
        <v>-507.2</v>
      </c>
      <c r="H33" s="112">
        <f>H34</f>
        <v>-503.8</v>
      </c>
      <c r="I33" s="49">
        <f t="shared" ref="I33:L33" si="9">I34</f>
        <v>-542.89200000000005</v>
      </c>
      <c r="J33" s="49">
        <f t="shared" si="9"/>
        <v>-590.4</v>
      </c>
      <c r="K33" s="49">
        <f t="shared" si="9"/>
        <v>-596.20000000000005</v>
      </c>
      <c r="L33" s="49">
        <f t="shared" si="9"/>
        <v>-624.9</v>
      </c>
      <c r="M33" s="45"/>
    </row>
    <row r="34" spans="1:17" ht="144" x14ac:dyDescent="0.2">
      <c r="A34" s="113" t="s">
        <v>709</v>
      </c>
      <c r="B34" s="275"/>
      <c r="C34" s="114" t="s">
        <v>878</v>
      </c>
      <c r="D34" s="113" t="s">
        <v>373</v>
      </c>
      <c r="E34" s="114" t="s">
        <v>374</v>
      </c>
      <c r="F34" s="124">
        <v>0</v>
      </c>
      <c r="G34" s="112">
        <v>-507.2</v>
      </c>
      <c r="H34" s="112">
        <v>-503.8</v>
      </c>
      <c r="I34" s="49">
        <v>-542.89200000000005</v>
      </c>
      <c r="J34" s="49">
        <v>-590.4</v>
      </c>
      <c r="K34" s="49">
        <v>-596.20000000000005</v>
      </c>
      <c r="L34" s="49">
        <v>-624.9</v>
      </c>
      <c r="M34" s="45"/>
    </row>
    <row r="35" spans="1:17" s="60" customFormat="1" ht="48" x14ac:dyDescent="0.2">
      <c r="A35" s="119" t="s">
        <v>379</v>
      </c>
      <c r="B35" s="126"/>
      <c r="C35" s="127"/>
      <c r="D35" s="119"/>
      <c r="E35" s="127"/>
      <c r="F35" s="128"/>
      <c r="G35" s="150"/>
      <c r="H35" s="150"/>
      <c r="I35" s="129"/>
      <c r="J35" s="121"/>
      <c r="K35" s="121"/>
      <c r="L35" s="121"/>
      <c r="M35" s="58"/>
      <c r="N35" s="59"/>
      <c r="O35" s="35"/>
      <c r="P35" s="35"/>
      <c r="Q35" s="35"/>
    </row>
    <row r="36" spans="1:17" s="60" customFormat="1" ht="48" x14ac:dyDescent="0.2">
      <c r="A36" s="119"/>
      <c r="B36" s="130"/>
      <c r="C36" s="155" t="s">
        <v>842</v>
      </c>
      <c r="D36" s="166" t="s">
        <v>379</v>
      </c>
      <c r="E36" s="131"/>
      <c r="F36" s="132"/>
      <c r="G36" s="112">
        <f>G37+G41</f>
        <v>18021.3</v>
      </c>
      <c r="H36" s="112">
        <f>H37+H41</f>
        <v>14051.900000000001</v>
      </c>
      <c r="I36" s="49">
        <f t="shared" ref="I36:L36" si="10">I37</f>
        <v>16376.8</v>
      </c>
      <c r="J36" s="49">
        <f t="shared" si="10"/>
        <v>17490</v>
      </c>
      <c r="K36" s="49">
        <f t="shared" si="10"/>
        <v>18390</v>
      </c>
      <c r="L36" s="49">
        <f t="shared" si="10"/>
        <v>19290</v>
      </c>
      <c r="M36" s="59">
        <f>H36+H45+H51</f>
        <v>21429.7</v>
      </c>
      <c r="N36" s="59">
        <f>I36+I45</f>
        <v>29776</v>
      </c>
      <c r="O36" s="59">
        <f t="shared" ref="O36" si="11">J36+J45</f>
        <v>29790</v>
      </c>
      <c r="P36" s="59">
        <f>K36+K45</f>
        <v>31290</v>
      </c>
      <c r="Q36" s="59">
        <f>L36+L45</f>
        <v>32790</v>
      </c>
    </row>
    <row r="37" spans="1:17" ht="72" x14ac:dyDescent="0.2">
      <c r="A37" s="133" t="s">
        <v>380</v>
      </c>
      <c r="B37" s="234" t="s">
        <v>1227</v>
      </c>
      <c r="C37" s="261" t="s">
        <v>609</v>
      </c>
      <c r="D37" s="267" t="s">
        <v>379</v>
      </c>
      <c r="E37" s="231" t="s">
        <v>366</v>
      </c>
      <c r="F37" s="257">
        <v>11905.028</v>
      </c>
      <c r="G37" s="243">
        <v>18021.2</v>
      </c>
      <c r="H37" s="264">
        <v>14051.7</v>
      </c>
      <c r="I37" s="252">
        <v>16376.8</v>
      </c>
      <c r="J37" s="252">
        <v>17490</v>
      </c>
      <c r="K37" s="252">
        <v>18390</v>
      </c>
      <c r="L37" s="252">
        <v>19290</v>
      </c>
      <c r="M37" s="61"/>
    </row>
    <row r="38" spans="1:17" ht="48" x14ac:dyDescent="0.2">
      <c r="A38" s="133" t="s">
        <v>381</v>
      </c>
      <c r="B38" s="235"/>
      <c r="C38" s="262"/>
      <c r="D38" s="268"/>
      <c r="E38" s="232"/>
      <c r="F38" s="260"/>
      <c r="G38" s="244"/>
      <c r="H38" s="265"/>
      <c r="I38" s="256"/>
      <c r="J38" s="256"/>
      <c r="K38" s="256"/>
      <c r="L38" s="256"/>
      <c r="M38" s="61"/>
    </row>
    <row r="39" spans="1:17" ht="72" x14ac:dyDescent="0.2">
      <c r="A39" s="133" t="s">
        <v>382</v>
      </c>
      <c r="B39" s="235"/>
      <c r="C39" s="262"/>
      <c r="D39" s="268"/>
      <c r="E39" s="232"/>
      <c r="F39" s="260"/>
      <c r="G39" s="244"/>
      <c r="H39" s="265"/>
      <c r="I39" s="256"/>
      <c r="J39" s="256"/>
      <c r="K39" s="256"/>
      <c r="L39" s="256"/>
      <c r="M39" s="45"/>
    </row>
    <row r="40" spans="1:17" ht="45.75" customHeight="1" x14ac:dyDescent="0.2">
      <c r="A40" s="133" t="s">
        <v>383</v>
      </c>
      <c r="B40" s="236"/>
      <c r="C40" s="263"/>
      <c r="D40" s="269"/>
      <c r="E40" s="233"/>
      <c r="F40" s="258"/>
      <c r="G40" s="245"/>
      <c r="H40" s="266"/>
      <c r="I40" s="253"/>
      <c r="J40" s="253"/>
      <c r="K40" s="253"/>
      <c r="L40" s="253"/>
      <c r="M40" s="45"/>
    </row>
    <row r="41" spans="1:17" ht="62.25" hidden="1" customHeight="1" x14ac:dyDescent="0.2">
      <c r="A41" s="135" t="s">
        <v>384</v>
      </c>
      <c r="B41" s="234" t="s">
        <v>1227</v>
      </c>
      <c r="C41" s="261" t="s">
        <v>610</v>
      </c>
      <c r="D41" s="267" t="s">
        <v>387</v>
      </c>
      <c r="E41" s="231" t="s">
        <v>366</v>
      </c>
      <c r="F41" s="257">
        <v>4.3019999999999996</v>
      </c>
      <c r="G41" s="264">
        <v>0.1</v>
      </c>
      <c r="H41" s="264">
        <v>0.2</v>
      </c>
      <c r="I41" s="252">
        <v>0</v>
      </c>
      <c r="J41" s="270">
        <v>0</v>
      </c>
      <c r="K41" s="270">
        <v>0</v>
      </c>
      <c r="L41" s="270">
        <v>0</v>
      </c>
      <c r="M41" s="45"/>
    </row>
    <row r="42" spans="1:17" ht="54" hidden="1" customHeight="1" x14ac:dyDescent="0.2">
      <c r="A42" s="136" t="s">
        <v>385</v>
      </c>
      <c r="B42" s="235"/>
      <c r="C42" s="262"/>
      <c r="D42" s="268"/>
      <c r="E42" s="232"/>
      <c r="F42" s="260"/>
      <c r="G42" s="265"/>
      <c r="H42" s="265"/>
      <c r="I42" s="256"/>
      <c r="J42" s="271"/>
      <c r="K42" s="271"/>
      <c r="L42" s="271"/>
      <c r="M42" s="45"/>
    </row>
    <row r="43" spans="1:17" ht="102" customHeight="1" x14ac:dyDescent="0.2">
      <c r="A43" s="113" t="s">
        <v>386</v>
      </c>
      <c r="B43" s="236"/>
      <c r="C43" s="263"/>
      <c r="D43" s="269"/>
      <c r="E43" s="233"/>
      <c r="F43" s="258"/>
      <c r="G43" s="266"/>
      <c r="H43" s="266"/>
      <c r="I43" s="253"/>
      <c r="J43" s="272"/>
      <c r="K43" s="272"/>
      <c r="L43" s="272"/>
      <c r="M43" s="45"/>
    </row>
    <row r="44" spans="1:17" ht="60" x14ac:dyDescent="0.2">
      <c r="A44" s="134" t="s">
        <v>388</v>
      </c>
      <c r="B44" s="154"/>
      <c r="C44" s="114"/>
      <c r="D44" s="113"/>
      <c r="E44" s="114"/>
      <c r="F44" s="120"/>
      <c r="G44" s="121"/>
      <c r="H44" s="194"/>
      <c r="I44" s="64"/>
      <c r="J44" s="50"/>
      <c r="K44" s="50"/>
      <c r="L44" s="50"/>
      <c r="M44" s="51"/>
    </row>
    <row r="45" spans="1:17" ht="60" x14ac:dyDescent="0.2">
      <c r="A45" s="134"/>
      <c r="B45" s="165"/>
      <c r="C45" s="155" t="s">
        <v>844</v>
      </c>
      <c r="D45" s="166" t="s">
        <v>388</v>
      </c>
      <c r="E45" s="155"/>
      <c r="F45" s="137"/>
      <c r="G45" s="112">
        <v>11994</v>
      </c>
      <c r="H45" s="149">
        <f t="shared" ref="H45:L45" si="12">H46</f>
        <v>7377.8</v>
      </c>
      <c r="I45" s="49">
        <f t="shared" si="12"/>
        <v>13399.2</v>
      </c>
      <c r="J45" s="49">
        <f t="shared" si="12"/>
        <v>12300</v>
      </c>
      <c r="K45" s="49">
        <f t="shared" si="12"/>
        <v>12900</v>
      </c>
      <c r="L45" s="49">
        <f t="shared" si="12"/>
        <v>13500</v>
      </c>
      <c r="M45" s="45"/>
    </row>
    <row r="46" spans="1:17" ht="84" x14ac:dyDescent="0.2">
      <c r="A46" s="113" t="s">
        <v>390</v>
      </c>
      <c r="B46" s="234" t="s">
        <v>1227</v>
      </c>
      <c r="C46" s="261" t="s">
        <v>611</v>
      </c>
      <c r="D46" s="254" t="s">
        <v>389</v>
      </c>
      <c r="E46" s="231" t="s">
        <v>366</v>
      </c>
      <c r="F46" s="257">
        <v>9443.5709999999999</v>
      </c>
      <c r="G46" s="243">
        <v>11246.7</v>
      </c>
      <c r="H46" s="264">
        <v>7377.8</v>
      </c>
      <c r="I46" s="252">
        <v>13399.2</v>
      </c>
      <c r="J46" s="252">
        <v>12300</v>
      </c>
      <c r="K46" s="252">
        <v>12900</v>
      </c>
      <c r="L46" s="252">
        <v>13500</v>
      </c>
      <c r="M46" s="45"/>
    </row>
    <row r="47" spans="1:17" ht="60" x14ac:dyDescent="0.2">
      <c r="A47" s="113" t="s">
        <v>391</v>
      </c>
      <c r="B47" s="235"/>
      <c r="C47" s="262"/>
      <c r="D47" s="259"/>
      <c r="E47" s="232"/>
      <c r="F47" s="260"/>
      <c r="G47" s="244"/>
      <c r="H47" s="265"/>
      <c r="I47" s="256"/>
      <c r="J47" s="256"/>
      <c r="K47" s="256"/>
      <c r="L47" s="256"/>
      <c r="M47" s="45"/>
    </row>
    <row r="48" spans="1:17" ht="84" x14ac:dyDescent="0.2">
      <c r="A48" s="113" t="s">
        <v>392</v>
      </c>
      <c r="B48" s="236"/>
      <c r="C48" s="263"/>
      <c r="D48" s="255"/>
      <c r="E48" s="233"/>
      <c r="F48" s="258"/>
      <c r="G48" s="245"/>
      <c r="H48" s="266"/>
      <c r="I48" s="256"/>
      <c r="J48" s="253"/>
      <c r="K48" s="253"/>
      <c r="L48" s="253"/>
      <c r="M48" s="45"/>
    </row>
    <row r="49" spans="1:14" ht="108" hidden="1" x14ac:dyDescent="0.2">
      <c r="A49" s="135" t="s">
        <v>393</v>
      </c>
      <c r="B49" s="154">
        <v>30</v>
      </c>
      <c r="C49" s="138" t="s">
        <v>612</v>
      </c>
      <c r="D49" s="113" t="s">
        <v>394</v>
      </c>
      <c r="E49" s="114" t="s">
        <v>366</v>
      </c>
      <c r="F49" s="118">
        <v>-0.58299999999999996</v>
      </c>
      <c r="G49" s="139">
        <v>0</v>
      </c>
      <c r="H49" s="149">
        <v>0</v>
      </c>
      <c r="I49" s="49">
        <v>0</v>
      </c>
      <c r="J49" s="54">
        <v>0</v>
      </c>
      <c r="K49" s="54">
        <v>0</v>
      </c>
      <c r="L49" s="54">
        <v>0</v>
      </c>
      <c r="M49" s="45"/>
    </row>
    <row r="50" spans="1:14" ht="48" x14ac:dyDescent="0.2">
      <c r="A50" s="134" t="s">
        <v>395</v>
      </c>
      <c r="B50" s="154"/>
      <c r="C50" s="114"/>
      <c r="D50" s="113"/>
      <c r="E50" s="114"/>
      <c r="F50" s="120"/>
      <c r="G50" s="121"/>
      <c r="H50" s="194"/>
      <c r="I50" s="64"/>
      <c r="J50" s="50"/>
      <c r="K50" s="50"/>
      <c r="L50" s="50"/>
      <c r="M50" s="51"/>
    </row>
    <row r="51" spans="1:14" ht="48" x14ac:dyDescent="0.2">
      <c r="A51" s="134"/>
      <c r="B51" s="165"/>
      <c r="C51" s="155" t="s">
        <v>843</v>
      </c>
      <c r="D51" s="166" t="s">
        <v>395</v>
      </c>
      <c r="E51" s="155"/>
      <c r="F51" s="137"/>
      <c r="G51" s="112">
        <f>G52</f>
        <v>-3</v>
      </c>
      <c r="H51" s="149">
        <f t="shared" ref="H51:L51" si="13">H52</f>
        <v>0</v>
      </c>
      <c r="I51" s="49">
        <f t="shared" si="13"/>
        <v>0</v>
      </c>
      <c r="J51" s="49">
        <f t="shared" si="13"/>
        <v>0</v>
      </c>
      <c r="K51" s="49">
        <f t="shared" si="13"/>
        <v>0</v>
      </c>
      <c r="L51" s="49">
        <f t="shared" si="13"/>
        <v>0</v>
      </c>
      <c r="M51" s="45"/>
    </row>
    <row r="52" spans="1:14" ht="86.25" customHeight="1" x14ac:dyDescent="0.2">
      <c r="A52" s="113" t="s">
        <v>883</v>
      </c>
      <c r="B52" s="234" t="s">
        <v>1227</v>
      </c>
      <c r="C52" s="261" t="s">
        <v>499</v>
      </c>
      <c r="D52" s="267" t="s">
        <v>395</v>
      </c>
      <c r="E52" s="231" t="s">
        <v>366</v>
      </c>
      <c r="F52" s="257">
        <v>-379.57400000000001</v>
      </c>
      <c r="G52" s="243">
        <v>-3</v>
      </c>
      <c r="H52" s="264">
        <v>0</v>
      </c>
      <c r="I52" s="252">
        <v>0</v>
      </c>
      <c r="J52" s="252">
        <v>0</v>
      </c>
      <c r="K52" s="252">
        <v>0</v>
      </c>
      <c r="L52" s="252">
        <v>0</v>
      </c>
      <c r="M52" s="45"/>
    </row>
    <row r="53" spans="1:14" ht="61.5" customHeight="1" x14ac:dyDescent="0.2">
      <c r="A53" s="113" t="s">
        <v>884</v>
      </c>
      <c r="B53" s="235"/>
      <c r="C53" s="262"/>
      <c r="D53" s="268"/>
      <c r="E53" s="232"/>
      <c r="F53" s="260"/>
      <c r="G53" s="244"/>
      <c r="H53" s="265"/>
      <c r="I53" s="256"/>
      <c r="J53" s="256"/>
      <c r="K53" s="256"/>
      <c r="L53" s="256"/>
      <c r="M53" s="45"/>
    </row>
    <row r="54" spans="1:14" ht="88.5" customHeight="1" x14ac:dyDescent="0.2">
      <c r="A54" s="113" t="s">
        <v>885</v>
      </c>
      <c r="B54" s="236"/>
      <c r="C54" s="263"/>
      <c r="D54" s="269"/>
      <c r="E54" s="233"/>
      <c r="F54" s="258"/>
      <c r="G54" s="245"/>
      <c r="H54" s="266"/>
      <c r="I54" s="253"/>
      <c r="J54" s="253"/>
      <c r="K54" s="253"/>
      <c r="L54" s="253"/>
      <c r="M54" s="45"/>
    </row>
    <row r="55" spans="1:14" ht="24" x14ac:dyDescent="0.2">
      <c r="A55" s="91" t="s">
        <v>73</v>
      </c>
      <c r="B55" s="91"/>
      <c r="C55" s="127"/>
      <c r="D55" s="127"/>
      <c r="E55" s="140"/>
      <c r="F55" s="128"/>
      <c r="G55" s="121"/>
      <c r="H55" s="121"/>
      <c r="I55" s="64"/>
      <c r="J55" s="50"/>
      <c r="K55" s="50"/>
      <c r="L55" s="50"/>
      <c r="M55" s="51"/>
    </row>
    <row r="56" spans="1:14" ht="24" x14ac:dyDescent="0.2">
      <c r="A56" s="91"/>
      <c r="B56" s="141"/>
      <c r="C56" s="155" t="s">
        <v>845</v>
      </c>
      <c r="D56" s="157" t="s">
        <v>73</v>
      </c>
      <c r="E56" s="143"/>
      <c r="F56" s="132"/>
      <c r="G56" s="175">
        <f>G57</f>
        <v>33219.4</v>
      </c>
      <c r="H56" s="175">
        <f t="shared" ref="H56:L56" si="14">H57</f>
        <v>20335.099999999999</v>
      </c>
      <c r="I56" s="66">
        <f t="shared" si="14"/>
        <v>31840</v>
      </c>
      <c r="J56" s="66">
        <f t="shared" si="14"/>
        <v>28500</v>
      </c>
      <c r="K56" s="66">
        <f t="shared" si="14"/>
        <v>0</v>
      </c>
      <c r="L56" s="66">
        <f t="shared" si="14"/>
        <v>0</v>
      </c>
      <c r="M56" s="67"/>
    </row>
    <row r="57" spans="1:14" ht="61.5" customHeight="1" x14ac:dyDescent="0.2">
      <c r="A57" s="116" t="s">
        <v>76</v>
      </c>
      <c r="B57" s="231" t="s">
        <v>396</v>
      </c>
      <c r="C57" s="261" t="s">
        <v>498</v>
      </c>
      <c r="D57" s="254" t="s">
        <v>73</v>
      </c>
      <c r="E57" s="231" t="s">
        <v>366</v>
      </c>
      <c r="F57" s="257">
        <v>38307.96</v>
      </c>
      <c r="G57" s="243">
        <v>33219.4</v>
      </c>
      <c r="H57" s="243">
        <v>20335.099999999999</v>
      </c>
      <c r="I57" s="252">
        <v>31840</v>
      </c>
      <c r="J57" s="252">
        <v>28500</v>
      </c>
      <c r="K57" s="252">
        <v>0</v>
      </c>
      <c r="L57" s="252">
        <v>0</v>
      </c>
      <c r="M57" s="45"/>
    </row>
    <row r="58" spans="1:14" ht="36" x14ac:dyDescent="0.2">
      <c r="A58" s="116" t="s">
        <v>79</v>
      </c>
      <c r="B58" s="232"/>
      <c r="C58" s="262"/>
      <c r="D58" s="259"/>
      <c r="E58" s="232"/>
      <c r="F58" s="260"/>
      <c r="G58" s="244"/>
      <c r="H58" s="244"/>
      <c r="I58" s="256"/>
      <c r="J58" s="256"/>
      <c r="K58" s="256"/>
      <c r="L58" s="256"/>
      <c r="M58" s="45"/>
    </row>
    <row r="59" spans="1:14" ht="60" x14ac:dyDescent="0.2">
      <c r="A59" s="116" t="s">
        <v>82</v>
      </c>
      <c r="B59" s="232"/>
      <c r="C59" s="262"/>
      <c r="D59" s="259"/>
      <c r="E59" s="232"/>
      <c r="F59" s="260"/>
      <c r="G59" s="244"/>
      <c r="H59" s="244"/>
      <c r="I59" s="256"/>
      <c r="J59" s="256"/>
      <c r="K59" s="256"/>
      <c r="L59" s="256"/>
      <c r="M59" s="45"/>
      <c r="N59" s="42"/>
    </row>
    <row r="60" spans="1:14" ht="36" x14ac:dyDescent="0.2">
      <c r="A60" s="116" t="s">
        <v>85</v>
      </c>
      <c r="B60" s="233"/>
      <c r="C60" s="263"/>
      <c r="D60" s="255"/>
      <c r="E60" s="233"/>
      <c r="F60" s="258"/>
      <c r="G60" s="245"/>
      <c r="H60" s="245"/>
      <c r="I60" s="253"/>
      <c r="J60" s="253"/>
      <c r="K60" s="253"/>
      <c r="L60" s="253"/>
      <c r="M60" s="45"/>
      <c r="N60" s="42"/>
    </row>
    <row r="61" spans="1:14" ht="48" x14ac:dyDescent="0.2">
      <c r="A61" s="91" t="s">
        <v>88</v>
      </c>
      <c r="B61" s="91"/>
      <c r="C61" s="127"/>
      <c r="D61" s="127"/>
      <c r="E61" s="127"/>
      <c r="F61" s="128"/>
      <c r="G61" s="121"/>
      <c r="H61" s="121"/>
      <c r="I61" s="64"/>
      <c r="J61" s="50"/>
      <c r="K61" s="50"/>
      <c r="L61" s="50"/>
      <c r="M61" s="51"/>
    </row>
    <row r="62" spans="1:14" ht="48" x14ac:dyDescent="0.2">
      <c r="A62" s="91"/>
      <c r="B62" s="141"/>
      <c r="C62" s="155" t="s">
        <v>846</v>
      </c>
      <c r="D62" s="157" t="s">
        <v>88</v>
      </c>
      <c r="E62" s="131"/>
      <c r="F62" s="132"/>
      <c r="G62" s="175">
        <f>G63</f>
        <v>2.2999999999999998</v>
      </c>
      <c r="H62" s="175">
        <f t="shared" ref="H62:L62" si="15">H63</f>
        <v>0.1</v>
      </c>
      <c r="I62" s="66">
        <f t="shared" si="15"/>
        <v>0</v>
      </c>
      <c r="J62" s="66">
        <f t="shared" si="15"/>
        <v>0</v>
      </c>
      <c r="K62" s="66">
        <f t="shared" si="15"/>
        <v>0</v>
      </c>
      <c r="L62" s="66">
        <f t="shared" si="15"/>
        <v>0</v>
      </c>
      <c r="M62" s="67"/>
    </row>
    <row r="63" spans="1:14" ht="84" x14ac:dyDescent="0.2">
      <c r="A63" s="116" t="s">
        <v>90</v>
      </c>
      <c r="B63" s="231" t="s">
        <v>396</v>
      </c>
      <c r="C63" s="231" t="s">
        <v>500</v>
      </c>
      <c r="D63" s="254" t="s">
        <v>88</v>
      </c>
      <c r="E63" s="231" t="s">
        <v>366</v>
      </c>
      <c r="F63" s="257">
        <v>3.206</v>
      </c>
      <c r="G63" s="243">
        <v>2.2999999999999998</v>
      </c>
      <c r="H63" s="243">
        <v>0.1</v>
      </c>
      <c r="I63" s="252">
        <v>0</v>
      </c>
      <c r="J63" s="252">
        <v>0</v>
      </c>
      <c r="K63" s="252">
        <v>0</v>
      </c>
      <c r="L63" s="252">
        <v>0</v>
      </c>
      <c r="M63" s="45"/>
    </row>
    <row r="64" spans="1:14" ht="60" x14ac:dyDescent="0.2">
      <c r="A64" s="116" t="s">
        <v>93</v>
      </c>
      <c r="B64" s="232"/>
      <c r="C64" s="232"/>
      <c r="D64" s="259"/>
      <c r="E64" s="232"/>
      <c r="F64" s="260"/>
      <c r="G64" s="244"/>
      <c r="H64" s="244"/>
      <c r="I64" s="256"/>
      <c r="J64" s="256"/>
      <c r="K64" s="256"/>
      <c r="L64" s="256"/>
      <c r="M64" s="45"/>
    </row>
    <row r="65" spans="1:17" ht="17.25" customHeight="1" x14ac:dyDescent="0.2">
      <c r="A65" s="91" t="s">
        <v>96</v>
      </c>
      <c r="B65" s="91"/>
      <c r="C65" s="127"/>
      <c r="D65" s="127"/>
      <c r="E65" s="127"/>
      <c r="F65" s="128"/>
      <c r="G65" s="121"/>
      <c r="H65" s="121"/>
      <c r="I65" s="64"/>
      <c r="J65" s="50"/>
      <c r="K65" s="50"/>
      <c r="L65" s="50"/>
      <c r="M65" s="51"/>
    </row>
    <row r="66" spans="1:17" ht="15.75" customHeight="1" x14ac:dyDescent="0.2">
      <c r="A66" s="91"/>
      <c r="B66" s="141"/>
      <c r="C66" s="155" t="s">
        <v>501</v>
      </c>
      <c r="D66" s="157" t="s">
        <v>96</v>
      </c>
      <c r="E66" s="131"/>
      <c r="F66" s="132"/>
      <c r="G66" s="142">
        <f>G67</f>
        <v>1658.4</v>
      </c>
      <c r="H66" s="142">
        <f t="shared" ref="H66:L66" si="16">H67</f>
        <v>1054.2</v>
      </c>
      <c r="I66" s="66">
        <f t="shared" si="16"/>
        <v>1712.3</v>
      </c>
      <c r="J66" s="66">
        <f t="shared" si="16"/>
        <v>1445.5</v>
      </c>
      <c r="K66" s="66">
        <f t="shared" si="16"/>
        <v>1445.5</v>
      </c>
      <c r="L66" s="66">
        <f t="shared" si="16"/>
        <v>1445.5</v>
      </c>
      <c r="M66" s="67"/>
    </row>
    <row r="67" spans="1:17" ht="48" x14ac:dyDescent="0.2">
      <c r="A67" s="116" t="s">
        <v>100</v>
      </c>
      <c r="B67" s="231" t="s">
        <v>397</v>
      </c>
      <c r="C67" s="231" t="s">
        <v>501</v>
      </c>
      <c r="D67" s="254" t="s">
        <v>96</v>
      </c>
      <c r="E67" s="231" t="s">
        <v>366</v>
      </c>
      <c r="F67" s="257">
        <v>813.99599999999998</v>
      </c>
      <c r="G67" s="243">
        <v>1658.4</v>
      </c>
      <c r="H67" s="243">
        <v>1054.2</v>
      </c>
      <c r="I67" s="252">
        <v>1712.3</v>
      </c>
      <c r="J67" s="252">
        <v>1445.5</v>
      </c>
      <c r="K67" s="252">
        <v>1445.5</v>
      </c>
      <c r="L67" s="252">
        <v>1445.5</v>
      </c>
      <c r="M67" s="45"/>
    </row>
    <row r="68" spans="1:17" ht="24" x14ac:dyDescent="0.2">
      <c r="A68" s="116" t="s">
        <v>103</v>
      </c>
      <c r="B68" s="232"/>
      <c r="C68" s="232"/>
      <c r="D68" s="259"/>
      <c r="E68" s="232"/>
      <c r="F68" s="260"/>
      <c r="G68" s="244"/>
      <c r="H68" s="244"/>
      <c r="I68" s="256"/>
      <c r="J68" s="256"/>
      <c r="K68" s="256"/>
      <c r="L68" s="256"/>
      <c r="M68" s="45"/>
    </row>
    <row r="69" spans="1:17" ht="48" x14ac:dyDescent="0.2">
      <c r="A69" s="116" t="s">
        <v>106</v>
      </c>
      <c r="B69" s="233"/>
      <c r="C69" s="233"/>
      <c r="D69" s="255"/>
      <c r="E69" s="233"/>
      <c r="F69" s="258"/>
      <c r="G69" s="245"/>
      <c r="H69" s="245"/>
      <c r="I69" s="253"/>
      <c r="J69" s="253"/>
      <c r="K69" s="253"/>
      <c r="L69" s="253"/>
      <c r="M69" s="45"/>
    </row>
    <row r="70" spans="1:17" s="70" customFormat="1" ht="36" hidden="1" x14ac:dyDescent="0.2">
      <c r="A70" s="68" t="s">
        <v>109</v>
      </c>
      <c r="B70" s="63"/>
      <c r="C70" s="69"/>
      <c r="D70" s="69"/>
      <c r="E70" s="69"/>
      <c r="F70" s="57"/>
      <c r="G70" s="106"/>
      <c r="H70" s="121"/>
      <c r="I70" s="64"/>
      <c r="J70" s="50"/>
      <c r="K70" s="50"/>
      <c r="L70" s="50"/>
      <c r="M70" s="51"/>
      <c r="N70" s="34"/>
      <c r="O70" s="35"/>
      <c r="P70" s="36"/>
      <c r="Q70" s="36"/>
    </row>
    <row r="71" spans="1:17" ht="72" hidden="1" x14ac:dyDescent="0.2">
      <c r="A71" s="62" t="s">
        <v>110</v>
      </c>
      <c r="B71" s="47" t="s">
        <v>397</v>
      </c>
      <c r="C71" s="47" t="s">
        <v>502</v>
      </c>
      <c r="D71" s="46" t="s">
        <v>109</v>
      </c>
      <c r="E71" s="47" t="s">
        <v>366</v>
      </c>
      <c r="F71" s="48">
        <v>0</v>
      </c>
      <c r="G71" s="105">
        <v>0</v>
      </c>
      <c r="H71" s="139">
        <v>0</v>
      </c>
      <c r="I71" s="49">
        <v>0</v>
      </c>
      <c r="J71" s="54">
        <v>0</v>
      </c>
      <c r="K71" s="54">
        <v>0</v>
      </c>
      <c r="L71" s="54">
        <v>0</v>
      </c>
      <c r="M71" s="45"/>
    </row>
    <row r="72" spans="1:17" s="36" customFormat="1" ht="48" hidden="1" x14ac:dyDescent="0.2">
      <c r="A72" s="68" t="s">
        <v>684</v>
      </c>
      <c r="B72" s="71"/>
      <c r="C72" s="71"/>
      <c r="D72" s="62"/>
      <c r="E72" s="71"/>
      <c r="F72" s="72"/>
      <c r="G72" s="107"/>
      <c r="H72" s="195"/>
      <c r="I72" s="49"/>
      <c r="J72" s="73"/>
      <c r="K72" s="73"/>
      <c r="L72" s="73"/>
      <c r="M72" s="74"/>
      <c r="N72" s="34"/>
      <c r="O72" s="35"/>
    </row>
    <row r="73" spans="1:17" s="36" customFormat="1" ht="36" hidden="1" x14ac:dyDescent="0.2">
      <c r="A73" s="62"/>
      <c r="B73" s="71"/>
      <c r="C73" s="71" t="s">
        <v>847</v>
      </c>
      <c r="D73" s="62" t="s">
        <v>109</v>
      </c>
      <c r="E73" s="71"/>
      <c r="F73" s="72"/>
      <c r="G73" s="108">
        <f>G74</f>
        <v>2.5999999999999999E-2</v>
      </c>
      <c r="H73" s="195">
        <f>H74</f>
        <v>0</v>
      </c>
      <c r="I73" s="49">
        <f t="shared" ref="I73:L73" si="17">I74</f>
        <v>0</v>
      </c>
      <c r="J73" s="73">
        <f t="shared" si="17"/>
        <v>0</v>
      </c>
      <c r="K73" s="73">
        <f t="shared" si="17"/>
        <v>0</v>
      </c>
      <c r="L73" s="73">
        <f t="shared" si="17"/>
        <v>0</v>
      </c>
      <c r="M73" s="74"/>
      <c r="N73" s="34"/>
      <c r="O73" s="35"/>
    </row>
    <row r="74" spans="1:17" s="36" customFormat="1" ht="48" hidden="1" x14ac:dyDescent="0.2">
      <c r="A74" s="62" t="s">
        <v>684</v>
      </c>
      <c r="B74" s="71" t="s">
        <v>397</v>
      </c>
      <c r="C74" s="71" t="s">
        <v>502</v>
      </c>
      <c r="D74" s="62" t="s">
        <v>109</v>
      </c>
      <c r="E74" s="71" t="s">
        <v>366</v>
      </c>
      <c r="F74" s="72"/>
      <c r="G74" s="108">
        <v>2.5999999999999999E-2</v>
      </c>
      <c r="H74" s="195">
        <v>0</v>
      </c>
      <c r="I74" s="49">
        <v>0</v>
      </c>
      <c r="J74" s="73">
        <v>0</v>
      </c>
      <c r="K74" s="73">
        <v>0</v>
      </c>
      <c r="L74" s="73">
        <v>0</v>
      </c>
      <c r="M74" s="74"/>
      <c r="N74" s="34"/>
      <c r="O74" s="35"/>
    </row>
    <row r="75" spans="1:17" ht="48" x14ac:dyDescent="0.2">
      <c r="A75" s="91" t="s">
        <v>113</v>
      </c>
      <c r="B75" s="91"/>
      <c r="C75" s="127"/>
      <c r="D75" s="127"/>
      <c r="E75" s="127"/>
      <c r="F75" s="128"/>
      <c r="G75" s="121"/>
      <c r="H75" s="121"/>
      <c r="I75" s="64"/>
      <c r="J75" s="50"/>
      <c r="K75" s="50"/>
      <c r="L75" s="50"/>
      <c r="M75" s="51"/>
    </row>
    <row r="76" spans="1:17" ht="48" x14ac:dyDescent="0.2">
      <c r="A76" s="91"/>
      <c r="B76" s="141"/>
      <c r="C76" s="155" t="s">
        <v>848</v>
      </c>
      <c r="D76" s="157" t="s">
        <v>113</v>
      </c>
      <c r="E76" s="131"/>
      <c r="F76" s="132"/>
      <c r="G76" s="175">
        <f>G77</f>
        <v>136.6</v>
      </c>
      <c r="H76" s="175">
        <f t="shared" ref="H76:L76" si="18">H77</f>
        <v>24.1</v>
      </c>
      <c r="I76" s="66">
        <f t="shared" si="18"/>
        <v>100</v>
      </c>
      <c r="J76" s="66">
        <f t="shared" si="18"/>
        <v>130</v>
      </c>
      <c r="K76" s="66">
        <f t="shared" si="18"/>
        <v>130</v>
      </c>
      <c r="L76" s="66">
        <f t="shared" si="18"/>
        <v>130</v>
      </c>
      <c r="M76" s="67"/>
    </row>
    <row r="77" spans="1:17" ht="84" x14ac:dyDescent="0.2">
      <c r="A77" s="116" t="s">
        <v>115</v>
      </c>
      <c r="B77" s="231" t="s">
        <v>396</v>
      </c>
      <c r="C77" s="231" t="s">
        <v>503</v>
      </c>
      <c r="D77" s="254" t="s">
        <v>113</v>
      </c>
      <c r="E77" s="231" t="s">
        <v>366</v>
      </c>
      <c r="F77" s="257">
        <v>31.62</v>
      </c>
      <c r="G77" s="243">
        <v>136.6</v>
      </c>
      <c r="H77" s="243">
        <v>24.1</v>
      </c>
      <c r="I77" s="252">
        <v>100</v>
      </c>
      <c r="J77" s="252">
        <v>130</v>
      </c>
      <c r="K77" s="252">
        <v>130</v>
      </c>
      <c r="L77" s="252">
        <v>130</v>
      </c>
      <c r="M77" s="45"/>
    </row>
    <row r="78" spans="1:17" ht="60" x14ac:dyDescent="0.2">
      <c r="A78" s="133" t="s">
        <v>118</v>
      </c>
      <c r="B78" s="233"/>
      <c r="C78" s="233"/>
      <c r="D78" s="255"/>
      <c r="E78" s="233"/>
      <c r="F78" s="258"/>
      <c r="G78" s="245"/>
      <c r="H78" s="245"/>
      <c r="I78" s="253"/>
      <c r="J78" s="253"/>
      <c r="K78" s="253"/>
      <c r="L78" s="253"/>
      <c r="M78" s="45"/>
    </row>
    <row r="79" spans="1:17" ht="60" x14ac:dyDescent="0.2">
      <c r="A79" s="91" t="s">
        <v>123</v>
      </c>
      <c r="B79" s="91"/>
      <c r="C79" s="114"/>
      <c r="D79" s="127"/>
      <c r="E79" s="127"/>
      <c r="F79" s="128"/>
      <c r="G79" s="121"/>
      <c r="H79" s="121"/>
      <c r="I79" s="64"/>
      <c r="J79" s="50"/>
      <c r="K79" s="50"/>
      <c r="L79" s="50"/>
      <c r="M79" s="51"/>
    </row>
    <row r="80" spans="1:17" ht="60" x14ac:dyDescent="0.2">
      <c r="A80" s="116"/>
      <c r="B80" s="116"/>
      <c r="C80" s="114" t="s">
        <v>504</v>
      </c>
      <c r="D80" s="116" t="s">
        <v>123</v>
      </c>
      <c r="E80" s="114"/>
      <c r="F80" s="144">
        <f>10100232.74/1000</f>
        <v>10100.232739999999</v>
      </c>
      <c r="G80" s="112">
        <f>G81</f>
        <v>9031</v>
      </c>
      <c r="H80" s="112">
        <f>H81</f>
        <v>6153.9</v>
      </c>
      <c r="I80" s="49">
        <f>I81</f>
        <v>8630.5</v>
      </c>
      <c r="J80" s="49">
        <f>J81</f>
        <v>8800</v>
      </c>
      <c r="K80" s="49">
        <f t="shared" ref="K80:L80" si="19">K81</f>
        <v>8800</v>
      </c>
      <c r="L80" s="49">
        <f t="shared" si="19"/>
        <v>8800</v>
      </c>
      <c r="M80" s="45"/>
    </row>
    <row r="81" spans="1:17" ht="96" x14ac:dyDescent="0.2">
      <c r="A81" s="113" t="s">
        <v>126</v>
      </c>
      <c r="B81" s="234">
        <v>100</v>
      </c>
      <c r="C81" s="231" t="s">
        <v>505</v>
      </c>
      <c r="D81" s="254" t="s">
        <v>123</v>
      </c>
      <c r="E81" s="231" t="s">
        <v>366</v>
      </c>
      <c r="F81" s="144">
        <f>10100232.74/1000</f>
        <v>10100.232739999999</v>
      </c>
      <c r="G81" s="243">
        <v>9031</v>
      </c>
      <c r="H81" s="243">
        <v>6153.9</v>
      </c>
      <c r="I81" s="252">
        <v>8630.5</v>
      </c>
      <c r="J81" s="252">
        <v>8800</v>
      </c>
      <c r="K81" s="252">
        <v>8800</v>
      </c>
      <c r="L81" s="252">
        <v>8800</v>
      </c>
      <c r="M81" s="45"/>
    </row>
    <row r="82" spans="1:17" ht="72" x14ac:dyDescent="0.2">
      <c r="A82" s="113" t="s">
        <v>465</v>
      </c>
      <c r="B82" s="236"/>
      <c r="C82" s="233"/>
      <c r="D82" s="255"/>
      <c r="E82" s="233"/>
      <c r="F82" s="144"/>
      <c r="G82" s="245"/>
      <c r="H82" s="245"/>
      <c r="I82" s="253"/>
      <c r="J82" s="253"/>
      <c r="K82" s="253"/>
      <c r="L82" s="253"/>
      <c r="M82" s="45"/>
    </row>
    <row r="83" spans="1:17" ht="48" x14ac:dyDescent="0.2">
      <c r="A83" s="91" t="s">
        <v>129</v>
      </c>
      <c r="B83" s="91"/>
      <c r="C83" s="127"/>
      <c r="D83" s="127"/>
      <c r="E83" s="127"/>
      <c r="F83" s="145"/>
      <c r="G83" s="121"/>
      <c r="H83" s="129"/>
      <c r="I83" s="64"/>
      <c r="J83" s="49"/>
      <c r="K83" s="49"/>
      <c r="L83" s="49"/>
      <c r="M83" s="45"/>
    </row>
    <row r="84" spans="1:17" ht="36" x14ac:dyDescent="0.2">
      <c r="A84" s="116"/>
      <c r="B84" s="116"/>
      <c r="C84" s="114" t="s">
        <v>506</v>
      </c>
      <c r="D84" s="116" t="s">
        <v>131</v>
      </c>
      <c r="E84" s="114"/>
      <c r="F84" s="144">
        <f>40000/1000</f>
        <v>40</v>
      </c>
      <c r="G84" s="112">
        <f>G85</f>
        <v>0</v>
      </c>
      <c r="H84" s="112">
        <f>H85</f>
        <v>5</v>
      </c>
      <c r="I84" s="49">
        <f t="shared" ref="I84:L84" si="20">I85</f>
        <v>20</v>
      </c>
      <c r="J84" s="49">
        <f t="shared" si="20"/>
        <v>15</v>
      </c>
      <c r="K84" s="49">
        <f t="shared" si="20"/>
        <v>15</v>
      </c>
      <c r="L84" s="49">
        <f t="shared" si="20"/>
        <v>65</v>
      </c>
      <c r="M84" s="45"/>
    </row>
    <row r="85" spans="1:17" ht="108" x14ac:dyDescent="0.2">
      <c r="A85" s="116" t="s">
        <v>133</v>
      </c>
      <c r="B85" s="114" t="s">
        <v>396</v>
      </c>
      <c r="C85" s="114" t="s">
        <v>507</v>
      </c>
      <c r="D85" s="116" t="s">
        <v>131</v>
      </c>
      <c r="E85" s="138" t="s">
        <v>623</v>
      </c>
      <c r="F85" s="144">
        <f>40000/1000</f>
        <v>40</v>
      </c>
      <c r="G85" s="112">
        <v>0</v>
      </c>
      <c r="H85" s="112">
        <v>5</v>
      </c>
      <c r="I85" s="49">
        <v>20</v>
      </c>
      <c r="J85" s="49">
        <v>15</v>
      </c>
      <c r="K85" s="49">
        <v>15</v>
      </c>
      <c r="L85" s="49">
        <v>65</v>
      </c>
      <c r="M85" s="45"/>
    </row>
    <row r="86" spans="1:17" ht="36" x14ac:dyDescent="0.2">
      <c r="A86" s="91" t="s">
        <v>136</v>
      </c>
      <c r="B86" s="91"/>
      <c r="C86" s="127"/>
      <c r="D86" s="127"/>
      <c r="E86" s="127"/>
      <c r="F86" s="128"/>
      <c r="G86" s="121"/>
      <c r="H86" s="121"/>
      <c r="I86" s="64"/>
      <c r="J86" s="64"/>
      <c r="K86" s="64"/>
      <c r="L86" s="64"/>
      <c r="M86" s="51"/>
      <c r="N86" s="34">
        <f>I87+I90+I92+I97+I100+I103+I108+I111</f>
        <v>14849.764999999998</v>
      </c>
      <c r="O86" s="34">
        <f t="shared" ref="O86:P86" si="21">J87+J90+J92+J97+J100+J103+J108+J111</f>
        <v>13188.9</v>
      </c>
      <c r="P86" s="34">
        <f t="shared" si="21"/>
        <v>12475.7</v>
      </c>
      <c r="Q86" s="34">
        <f>L87+L90+L92+L97+L100+L103+L108+L111</f>
        <v>12752.8</v>
      </c>
    </row>
    <row r="87" spans="1:17" ht="48" x14ac:dyDescent="0.2">
      <c r="A87" s="91"/>
      <c r="B87" s="91"/>
      <c r="C87" s="114" t="s">
        <v>508</v>
      </c>
      <c r="D87" s="116" t="s">
        <v>138</v>
      </c>
      <c r="E87" s="127"/>
      <c r="F87" s="144">
        <f>1127.05/1000</f>
        <v>1.1270499999999999</v>
      </c>
      <c r="G87" s="112">
        <f>G88</f>
        <v>3.8</v>
      </c>
      <c r="H87" s="112">
        <f>H88</f>
        <v>0</v>
      </c>
      <c r="I87" s="49">
        <f t="shared" ref="I87:L87" si="22">I88</f>
        <v>3.7749999999999999</v>
      </c>
      <c r="J87" s="49">
        <f t="shared" si="22"/>
        <v>0</v>
      </c>
      <c r="K87" s="49">
        <f t="shared" si="22"/>
        <v>0</v>
      </c>
      <c r="L87" s="49">
        <f t="shared" si="22"/>
        <v>0</v>
      </c>
      <c r="M87" s="45"/>
    </row>
    <row r="88" spans="1:17" ht="48" x14ac:dyDescent="0.2">
      <c r="A88" s="116" t="s">
        <v>138</v>
      </c>
      <c r="B88" s="114" t="s">
        <v>396</v>
      </c>
      <c r="C88" s="114" t="s">
        <v>509</v>
      </c>
      <c r="D88" s="116" t="s">
        <v>138</v>
      </c>
      <c r="E88" s="114" t="s">
        <v>2</v>
      </c>
      <c r="F88" s="144">
        <f>1127.05/1000</f>
        <v>1.1270499999999999</v>
      </c>
      <c r="G88" s="112">
        <v>3.8</v>
      </c>
      <c r="H88" s="112">
        <v>0</v>
      </c>
      <c r="I88" s="49">
        <v>3.7749999999999999</v>
      </c>
      <c r="J88" s="49">
        <v>0</v>
      </c>
      <c r="K88" s="49">
        <v>0</v>
      </c>
      <c r="L88" s="49">
        <v>0</v>
      </c>
      <c r="M88" s="45"/>
    </row>
    <row r="89" spans="1:17" ht="84" x14ac:dyDescent="0.2">
      <c r="A89" s="91" t="s">
        <v>143</v>
      </c>
      <c r="B89" s="91"/>
      <c r="C89" s="127"/>
      <c r="D89" s="127"/>
      <c r="E89" s="127"/>
      <c r="F89" s="128"/>
      <c r="G89" s="121"/>
      <c r="H89" s="121"/>
      <c r="I89" s="64"/>
      <c r="J89" s="50"/>
      <c r="K89" s="50"/>
      <c r="L89" s="50"/>
      <c r="M89" s="51"/>
    </row>
    <row r="90" spans="1:17" ht="120" x14ac:dyDescent="0.2">
      <c r="A90" s="91"/>
      <c r="B90" s="91"/>
      <c r="C90" s="114" t="s">
        <v>510</v>
      </c>
      <c r="D90" s="113" t="s">
        <v>580</v>
      </c>
      <c r="E90" s="127"/>
      <c r="F90" s="144">
        <v>0</v>
      </c>
      <c r="G90" s="112">
        <f>G91</f>
        <v>6740.5</v>
      </c>
      <c r="H90" s="112">
        <f>H91</f>
        <v>10516.7</v>
      </c>
      <c r="I90" s="49">
        <f t="shared" ref="I90:L90" si="23">I91</f>
        <v>6538.9</v>
      </c>
      <c r="J90" s="49">
        <f t="shared" si="23"/>
        <v>6500</v>
      </c>
      <c r="K90" s="49">
        <f t="shared" si="23"/>
        <v>6495</v>
      </c>
      <c r="L90" s="49">
        <f t="shared" si="23"/>
        <v>6305</v>
      </c>
      <c r="M90" s="74">
        <f>I90+I92+I97</f>
        <v>13492.8</v>
      </c>
      <c r="N90" s="74">
        <f t="shared" ref="N90:P90" si="24">J90+J92+J97</f>
        <v>12198.7</v>
      </c>
      <c r="O90" s="74">
        <f t="shared" si="24"/>
        <v>11952.2</v>
      </c>
      <c r="P90" s="74">
        <f t="shared" si="24"/>
        <v>12264.2</v>
      </c>
    </row>
    <row r="91" spans="1:17" ht="120" x14ac:dyDescent="0.2">
      <c r="A91" s="113" t="s">
        <v>580</v>
      </c>
      <c r="B91" s="117" t="s">
        <v>396</v>
      </c>
      <c r="C91" s="114" t="s">
        <v>511</v>
      </c>
      <c r="D91" s="113" t="s">
        <v>580</v>
      </c>
      <c r="E91" s="138" t="s">
        <v>623</v>
      </c>
      <c r="F91" s="144">
        <v>0</v>
      </c>
      <c r="G91" s="112">
        <v>6740.5</v>
      </c>
      <c r="H91" s="112">
        <v>10516.7</v>
      </c>
      <c r="I91" s="49">
        <v>6538.9</v>
      </c>
      <c r="J91" s="49">
        <v>6500</v>
      </c>
      <c r="K91" s="49">
        <v>6495</v>
      </c>
      <c r="L91" s="49">
        <v>6305</v>
      </c>
      <c r="M91" s="45"/>
    </row>
    <row r="92" spans="1:17" ht="96" x14ac:dyDescent="0.2">
      <c r="A92" s="119"/>
      <c r="B92" s="119"/>
      <c r="C92" s="114" t="s">
        <v>513</v>
      </c>
      <c r="D92" s="113" t="s">
        <v>145</v>
      </c>
      <c r="E92" s="114"/>
      <c r="F92" s="144">
        <f>5921592.07/1000</f>
        <v>5921.5920700000006</v>
      </c>
      <c r="G92" s="112">
        <v>8703.2000000000007</v>
      </c>
      <c r="H92" s="112">
        <v>7346.5</v>
      </c>
      <c r="I92" s="49">
        <f>I93+I94+I95</f>
        <v>6595.9</v>
      </c>
      <c r="J92" s="49">
        <f>J93+J94+J95</f>
        <v>5438.7</v>
      </c>
      <c r="K92" s="49">
        <f t="shared" ref="K92:L92" si="25">K93+K94+K95</f>
        <v>5211.2</v>
      </c>
      <c r="L92" s="49">
        <f t="shared" si="25"/>
        <v>5713.2</v>
      </c>
      <c r="M92" s="45"/>
    </row>
    <row r="93" spans="1:17" ht="108" x14ac:dyDescent="0.2">
      <c r="A93" s="113" t="s">
        <v>145</v>
      </c>
      <c r="B93" s="117">
        <v>50</v>
      </c>
      <c r="C93" s="114" t="s">
        <v>512</v>
      </c>
      <c r="D93" s="113" t="s">
        <v>145</v>
      </c>
      <c r="E93" s="138" t="s">
        <v>623</v>
      </c>
      <c r="F93" s="144">
        <f>3604235.21/1000</f>
        <v>3604.2352099999998</v>
      </c>
      <c r="G93" s="112">
        <v>-202.7</v>
      </c>
      <c r="H93" s="112">
        <v>0</v>
      </c>
      <c r="I93" s="49">
        <v>0</v>
      </c>
      <c r="J93" s="49">
        <v>0</v>
      </c>
      <c r="K93" s="49">
        <v>0</v>
      </c>
      <c r="L93" s="49">
        <v>0</v>
      </c>
      <c r="M93" s="76"/>
    </row>
    <row r="94" spans="1:17" ht="96" x14ac:dyDescent="0.2">
      <c r="A94" s="113" t="s">
        <v>145</v>
      </c>
      <c r="B94" s="117">
        <v>50</v>
      </c>
      <c r="C94" s="114" t="s">
        <v>514</v>
      </c>
      <c r="D94" s="113" t="s">
        <v>145</v>
      </c>
      <c r="E94" s="138" t="s">
        <v>400</v>
      </c>
      <c r="F94" s="144">
        <f>1413123.56/1000</f>
        <v>1413.12356</v>
      </c>
      <c r="G94" s="112">
        <v>4105.5</v>
      </c>
      <c r="H94" s="112">
        <v>1643</v>
      </c>
      <c r="I94" s="49">
        <v>3097.7</v>
      </c>
      <c r="J94" s="49">
        <v>2632</v>
      </c>
      <c r="K94" s="49">
        <v>2404.5</v>
      </c>
      <c r="L94" s="49">
        <v>2906.5</v>
      </c>
      <c r="M94" s="45"/>
    </row>
    <row r="95" spans="1:17" ht="96" x14ac:dyDescent="0.2">
      <c r="A95" s="113" t="s">
        <v>145</v>
      </c>
      <c r="B95" s="117">
        <v>50</v>
      </c>
      <c r="C95" s="114" t="s">
        <v>515</v>
      </c>
      <c r="D95" s="113" t="s">
        <v>145</v>
      </c>
      <c r="E95" s="138" t="s">
        <v>613</v>
      </c>
      <c r="F95" s="144">
        <f>904233.3/1000</f>
        <v>904.2333000000001</v>
      </c>
      <c r="G95" s="112">
        <v>4800.3999999999996</v>
      </c>
      <c r="H95" s="112">
        <v>5703.5</v>
      </c>
      <c r="I95" s="49">
        <v>3498.2</v>
      </c>
      <c r="J95" s="49">
        <v>2806.7</v>
      </c>
      <c r="K95" s="49">
        <v>2806.7</v>
      </c>
      <c r="L95" s="49">
        <v>2806.7</v>
      </c>
      <c r="M95" s="45"/>
    </row>
    <row r="96" spans="1:17" ht="108" x14ac:dyDescent="0.2">
      <c r="A96" s="146" t="s">
        <v>417</v>
      </c>
      <c r="B96" s="117"/>
      <c r="C96" s="114"/>
      <c r="D96" s="113"/>
      <c r="E96" s="114"/>
      <c r="F96" s="144"/>
      <c r="G96" s="139"/>
      <c r="H96" s="139"/>
      <c r="I96" s="64"/>
      <c r="J96" s="50"/>
      <c r="K96" s="50"/>
      <c r="L96" s="50"/>
      <c r="M96" s="51"/>
    </row>
    <row r="97" spans="1:17" ht="96" x14ac:dyDescent="0.2">
      <c r="A97" s="113"/>
      <c r="B97" s="117"/>
      <c r="C97" s="114" t="s">
        <v>516</v>
      </c>
      <c r="D97" s="113" t="s">
        <v>419</v>
      </c>
      <c r="E97" s="114"/>
      <c r="F97" s="144">
        <v>0</v>
      </c>
      <c r="G97" s="112">
        <f>G98</f>
        <v>434</v>
      </c>
      <c r="H97" s="112">
        <f>H98</f>
        <v>139</v>
      </c>
      <c r="I97" s="49">
        <f t="shared" ref="I97:L97" si="26">I98</f>
        <v>358</v>
      </c>
      <c r="J97" s="49">
        <f t="shared" si="26"/>
        <v>260</v>
      </c>
      <c r="K97" s="49">
        <f t="shared" si="26"/>
        <v>246</v>
      </c>
      <c r="L97" s="49">
        <f t="shared" si="26"/>
        <v>246</v>
      </c>
      <c r="M97" s="45"/>
    </row>
    <row r="98" spans="1:17" ht="108" x14ac:dyDescent="0.2">
      <c r="A98" s="113" t="s">
        <v>419</v>
      </c>
      <c r="B98" s="117" t="s">
        <v>396</v>
      </c>
      <c r="C98" s="114" t="s">
        <v>517</v>
      </c>
      <c r="D98" s="113" t="s">
        <v>419</v>
      </c>
      <c r="E98" s="138" t="s">
        <v>623</v>
      </c>
      <c r="F98" s="144">
        <v>0</v>
      </c>
      <c r="G98" s="112">
        <v>434</v>
      </c>
      <c r="H98" s="112">
        <v>139</v>
      </c>
      <c r="I98" s="49">
        <v>358</v>
      </c>
      <c r="J98" s="49">
        <v>260</v>
      </c>
      <c r="K98" s="49">
        <v>246</v>
      </c>
      <c r="L98" s="49">
        <v>246</v>
      </c>
      <c r="M98" s="45"/>
    </row>
    <row r="99" spans="1:17" s="77" customFormat="1" ht="108" x14ac:dyDescent="0.2">
      <c r="A99" s="146" t="s">
        <v>150</v>
      </c>
      <c r="B99" s="146"/>
      <c r="C99" s="147"/>
      <c r="D99" s="148"/>
      <c r="E99" s="148"/>
      <c r="F99" s="128"/>
      <c r="G99" s="121"/>
      <c r="H99" s="121"/>
      <c r="I99" s="64"/>
      <c r="J99" s="50"/>
      <c r="K99" s="50"/>
      <c r="L99" s="50"/>
      <c r="M99" s="51"/>
      <c r="N99" s="34"/>
      <c r="O99" s="35"/>
      <c r="P99" s="36"/>
      <c r="Q99" s="36"/>
    </row>
    <row r="100" spans="1:17" ht="84" x14ac:dyDescent="0.2">
      <c r="A100" s="91"/>
      <c r="B100" s="91"/>
      <c r="C100" s="114" t="s">
        <v>518</v>
      </c>
      <c r="D100" s="116" t="s">
        <v>152</v>
      </c>
      <c r="E100" s="127"/>
      <c r="F100" s="144">
        <f>123846.48/1000</f>
        <v>123.84648</v>
      </c>
      <c r="G100" s="112">
        <f>G101</f>
        <v>0</v>
      </c>
      <c r="H100" s="112">
        <f>H101</f>
        <v>266.60000000000002</v>
      </c>
      <c r="I100" s="49">
        <f t="shared" ref="I100:L100" si="27">I101</f>
        <v>0</v>
      </c>
      <c r="J100" s="49">
        <f t="shared" si="27"/>
        <v>0</v>
      </c>
      <c r="K100" s="49">
        <f t="shared" si="27"/>
        <v>0</v>
      </c>
      <c r="L100" s="49">
        <f t="shared" si="27"/>
        <v>0</v>
      </c>
      <c r="M100" s="45"/>
    </row>
    <row r="101" spans="1:17" ht="108" x14ac:dyDescent="0.2">
      <c r="A101" s="116" t="s">
        <v>152</v>
      </c>
      <c r="B101" s="114" t="s">
        <v>396</v>
      </c>
      <c r="C101" s="114" t="s">
        <v>519</v>
      </c>
      <c r="D101" s="116" t="s">
        <v>152</v>
      </c>
      <c r="E101" s="138" t="s">
        <v>623</v>
      </c>
      <c r="F101" s="144">
        <f>123846.48/1000</f>
        <v>123.84648</v>
      </c>
      <c r="G101" s="112">
        <v>0</v>
      </c>
      <c r="H101" s="112">
        <v>266.60000000000002</v>
      </c>
      <c r="I101" s="49">
        <v>0</v>
      </c>
      <c r="J101" s="49">
        <v>0</v>
      </c>
      <c r="K101" s="49">
        <v>0</v>
      </c>
      <c r="L101" s="49">
        <v>0</v>
      </c>
      <c r="M101" s="45"/>
    </row>
    <row r="102" spans="1:17" ht="60" x14ac:dyDescent="0.2">
      <c r="A102" s="146" t="s">
        <v>421</v>
      </c>
      <c r="B102" s="114"/>
      <c r="C102" s="114"/>
      <c r="D102" s="116"/>
      <c r="E102" s="114"/>
      <c r="F102" s="144"/>
      <c r="G102" s="121"/>
      <c r="H102" s="121"/>
      <c r="I102" s="64"/>
      <c r="J102" s="50"/>
      <c r="K102" s="50"/>
      <c r="L102" s="50"/>
      <c r="M102" s="51"/>
    </row>
    <row r="103" spans="1:17" ht="180" x14ac:dyDescent="0.2">
      <c r="A103" s="116"/>
      <c r="B103" s="114"/>
      <c r="C103" s="114" t="s">
        <v>858</v>
      </c>
      <c r="D103" s="113" t="s">
        <v>727</v>
      </c>
      <c r="E103" s="114"/>
      <c r="F103" s="144">
        <v>0</v>
      </c>
      <c r="G103" s="112">
        <f>G104</f>
        <v>1.1000000000000001</v>
      </c>
      <c r="H103" s="112">
        <f>H104</f>
        <v>3.4</v>
      </c>
      <c r="I103" s="49">
        <f t="shared" ref="I103:L103" si="28">I104</f>
        <v>1.139</v>
      </c>
      <c r="J103" s="49">
        <f t="shared" si="28"/>
        <v>1.8</v>
      </c>
      <c r="K103" s="49">
        <f t="shared" si="28"/>
        <v>1.8</v>
      </c>
      <c r="L103" s="49">
        <f t="shared" si="28"/>
        <v>1.8</v>
      </c>
      <c r="M103" s="45"/>
    </row>
    <row r="104" spans="1:17" ht="180" x14ac:dyDescent="0.2">
      <c r="A104" s="113" t="s">
        <v>727</v>
      </c>
      <c r="B104" s="114" t="s">
        <v>396</v>
      </c>
      <c r="C104" s="114" t="s">
        <v>857</v>
      </c>
      <c r="D104" s="113" t="s">
        <v>727</v>
      </c>
      <c r="E104" s="138" t="s">
        <v>623</v>
      </c>
      <c r="F104" s="144">
        <v>0</v>
      </c>
      <c r="G104" s="112">
        <v>1.1000000000000001</v>
      </c>
      <c r="H104" s="112">
        <v>3.4</v>
      </c>
      <c r="I104" s="49">
        <v>1.139</v>
      </c>
      <c r="J104" s="49">
        <v>1.8</v>
      </c>
      <c r="K104" s="49">
        <v>1.8</v>
      </c>
      <c r="L104" s="49">
        <v>1.8</v>
      </c>
      <c r="M104" s="45"/>
    </row>
    <row r="105" spans="1:17" ht="132" x14ac:dyDescent="0.2">
      <c r="A105" s="113"/>
      <c r="B105" s="114"/>
      <c r="C105" s="114" t="s">
        <v>913</v>
      </c>
      <c r="D105" s="178" t="s">
        <v>912</v>
      </c>
      <c r="E105" s="138"/>
      <c r="F105" s="144"/>
      <c r="G105" s="112">
        <v>0</v>
      </c>
      <c r="H105" s="112">
        <f>H106</f>
        <v>0.7</v>
      </c>
      <c r="I105" s="49"/>
      <c r="J105" s="49"/>
      <c r="K105" s="49"/>
      <c r="L105" s="49"/>
      <c r="M105" s="45"/>
    </row>
    <row r="106" spans="1:17" ht="132" x14ac:dyDescent="0.2">
      <c r="A106" s="178" t="s">
        <v>912</v>
      </c>
      <c r="B106" s="114" t="s">
        <v>396</v>
      </c>
      <c r="C106" s="114" t="s">
        <v>914</v>
      </c>
      <c r="D106" s="178" t="s">
        <v>912</v>
      </c>
      <c r="E106" s="138" t="s">
        <v>400</v>
      </c>
      <c r="F106" s="144"/>
      <c r="G106" s="112">
        <v>0</v>
      </c>
      <c r="H106" s="112">
        <v>0.7</v>
      </c>
      <c r="I106" s="49"/>
      <c r="J106" s="49"/>
      <c r="K106" s="49"/>
      <c r="L106" s="49"/>
      <c r="M106" s="45"/>
    </row>
    <row r="107" spans="1:17" ht="72" x14ac:dyDescent="0.2">
      <c r="A107" s="146" t="s">
        <v>732</v>
      </c>
      <c r="B107" s="114"/>
      <c r="C107" s="114"/>
      <c r="D107" s="113"/>
      <c r="E107" s="138"/>
      <c r="F107" s="144"/>
      <c r="G107" s="112"/>
      <c r="H107" s="112"/>
      <c r="I107" s="49"/>
      <c r="J107" s="54"/>
      <c r="K107" s="54"/>
      <c r="L107" s="54"/>
      <c r="M107" s="45"/>
    </row>
    <row r="108" spans="1:17" ht="72" x14ac:dyDescent="0.2">
      <c r="A108" s="113"/>
      <c r="B108" s="114"/>
      <c r="C108" s="114" t="s">
        <v>860</v>
      </c>
      <c r="D108" s="113" t="s">
        <v>734</v>
      </c>
      <c r="E108" s="138"/>
      <c r="F108" s="144"/>
      <c r="G108" s="112">
        <f>G109</f>
        <v>9</v>
      </c>
      <c r="H108" s="112">
        <f t="shared" ref="H108:L108" si="29">H109</f>
        <v>6.1</v>
      </c>
      <c r="I108" s="49">
        <f t="shared" si="29"/>
        <v>9</v>
      </c>
      <c r="J108" s="49">
        <f t="shared" si="29"/>
        <v>3.4</v>
      </c>
      <c r="K108" s="49">
        <f t="shared" si="29"/>
        <v>2.7</v>
      </c>
      <c r="L108" s="49">
        <f t="shared" si="29"/>
        <v>2.8</v>
      </c>
      <c r="M108" s="76"/>
    </row>
    <row r="109" spans="1:17" ht="108" x14ac:dyDescent="0.2">
      <c r="A109" s="113" t="s">
        <v>734</v>
      </c>
      <c r="B109" s="114" t="s">
        <v>396</v>
      </c>
      <c r="C109" s="114" t="s">
        <v>859</v>
      </c>
      <c r="D109" s="113" t="s">
        <v>734</v>
      </c>
      <c r="E109" s="138" t="s">
        <v>623</v>
      </c>
      <c r="F109" s="144"/>
      <c r="G109" s="112">
        <v>9</v>
      </c>
      <c r="H109" s="112">
        <v>6.1</v>
      </c>
      <c r="I109" s="49">
        <v>9</v>
      </c>
      <c r="J109" s="49">
        <v>3.4</v>
      </c>
      <c r="K109" s="49">
        <v>2.7</v>
      </c>
      <c r="L109" s="49">
        <v>2.8</v>
      </c>
      <c r="M109" s="45"/>
    </row>
    <row r="110" spans="1:17" ht="108" x14ac:dyDescent="0.2">
      <c r="A110" s="146" t="s">
        <v>155</v>
      </c>
      <c r="B110" s="119"/>
      <c r="C110" s="127"/>
      <c r="D110" s="127"/>
      <c r="E110" s="127"/>
      <c r="F110" s="128"/>
      <c r="G110" s="121"/>
      <c r="H110" s="121"/>
      <c r="I110" s="64"/>
      <c r="J110" s="50"/>
      <c r="K110" s="50"/>
      <c r="L110" s="50"/>
      <c r="M110" s="51"/>
    </row>
    <row r="111" spans="1:17" ht="96" x14ac:dyDescent="0.2">
      <c r="A111" s="116"/>
      <c r="B111" s="116"/>
      <c r="C111" s="114" t="s">
        <v>520</v>
      </c>
      <c r="D111" s="116" t="s">
        <v>159</v>
      </c>
      <c r="E111" s="114"/>
      <c r="F111" s="144">
        <f>905651.86/1000</f>
        <v>905.65185999999994</v>
      </c>
      <c r="G111" s="112">
        <f>G112</f>
        <v>1325.3</v>
      </c>
      <c r="H111" s="112">
        <f>H112</f>
        <v>819.4</v>
      </c>
      <c r="I111" s="49">
        <f t="shared" ref="I111:L111" si="30">I112</f>
        <v>1343.0509999999999</v>
      </c>
      <c r="J111" s="49">
        <f t="shared" si="30"/>
        <v>985</v>
      </c>
      <c r="K111" s="49">
        <f t="shared" si="30"/>
        <v>519</v>
      </c>
      <c r="L111" s="49">
        <f t="shared" si="30"/>
        <v>484</v>
      </c>
      <c r="M111" s="45"/>
    </row>
    <row r="112" spans="1:17" ht="108" x14ac:dyDescent="0.2">
      <c r="A112" s="116" t="s">
        <v>159</v>
      </c>
      <c r="B112" s="114" t="s">
        <v>396</v>
      </c>
      <c r="C112" s="114" t="s">
        <v>521</v>
      </c>
      <c r="D112" s="116" t="s">
        <v>159</v>
      </c>
      <c r="E112" s="138" t="s">
        <v>623</v>
      </c>
      <c r="F112" s="144">
        <f>905651.86/1000</f>
        <v>905.65185999999994</v>
      </c>
      <c r="G112" s="112">
        <v>1325.3</v>
      </c>
      <c r="H112" s="112">
        <v>819.4</v>
      </c>
      <c r="I112" s="49">
        <v>1343.0509999999999</v>
      </c>
      <c r="J112" s="49">
        <v>985</v>
      </c>
      <c r="K112" s="49">
        <v>519</v>
      </c>
      <c r="L112" s="49">
        <v>484</v>
      </c>
      <c r="M112" s="45"/>
    </row>
    <row r="113" spans="1:17" ht="24" x14ac:dyDescent="0.2">
      <c r="A113" s="91" t="s">
        <v>164</v>
      </c>
      <c r="B113" s="91"/>
      <c r="C113" s="127"/>
      <c r="D113" s="127"/>
      <c r="E113" s="127"/>
      <c r="F113" s="128"/>
      <c r="G113" s="121"/>
      <c r="H113" s="121"/>
      <c r="I113" s="64"/>
      <c r="J113" s="50"/>
      <c r="K113" s="50"/>
      <c r="L113" s="50"/>
      <c r="M113" s="51"/>
    </row>
    <row r="114" spans="1:17" ht="36" x14ac:dyDescent="0.2">
      <c r="A114" s="91"/>
      <c r="B114" s="91"/>
      <c r="C114" s="114" t="s">
        <v>522</v>
      </c>
      <c r="D114" s="116" t="s">
        <v>166</v>
      </c>
      <c r="E114" s="127"/>
      <c r="F114" s="144">
        <f>460392/1000</f>
        <v>460.392</v>
      </c>
      <c r="G114" s="112">
        <f>G115</f>
        <v>245.1</v>
      </c>
      <c r="H114" s="112">
        <f>H115</f>
        <v>175.8</v>
      </c>
      <c r="I114" s="49">
        <f t="shared" ref="I114:L114" si="31">I115</f>
        <v>284</v>
      </c>
      <c r="J114" s="49">
        <f t="shared" si="31"/>
        <v>298.10000000000002</v>
      </c>
      <c r="K114" s="49">
        <f t="shared" si="31"/>
        <v>304.10000000000002</v>
      </c>
      <c r="L114" s="49">
        <f t="shared" si="31"/>
        <v>313.2</v>
      </c>
      <c r="M114" s="45"/>
      <c r="N114" s="34">
        <f>I114+I118+I120+I122</f>
        <v>890</v>
      </c>
      <c r="O114" s="34">
        <f>J114+J118+J120+J122</f>
        <v>995.30000000000007</v>
      </c>
      <c r="P114" s="34">
        <f>K114+K118+K120+K122</f>
        <v>1015.3000000000001</v>
      </c>
      <c r="Q114" s="34">
        <f t="shared" ref="Q114" si="32">L114+L118+L120+L122</f>
        <v>1045.6999999999998</v>
      </c>
    </row>
    <row r="115" spans="1:17" ht="74.25" customHeight="1" x14ac:dyDescent="0.2">
      <c r="A115" s="116" t="s">
        <v>169</v>
      </c>
      <c r="B115" s="114" t="s">
        <v>1228</v>
      </c>
      <c r="C115" s="114" t="s">
        <v>523</v>
      </c>
      <c r="D115" s="116" t="s">
        <v>166</v>
      </c>
      <c r="E115" s="114" t="s">
        <v>401</v>
      </c>
      <c r="F115" s="144">
        <f>460392/1000</f>
        <v>460.392</v>
      </c>
      <c r="G115" s="112">
        <v>245.1</v>
      </c>
      <c r="H115" s="112">
        <v>175.8</v>
      </c>
      <c r="I115" s="49">
        <v>284</v>
      </c>
      <c r="J115" s="49">
        <v>298.10000000000002</v>
      </c>
      <c r="K115" s="49">
        <v>304.10000000000002</v>
      </c>
      <c r="L115" s="49">
        <v>313.2</v>
      </c>
      <c r="M115" s="45"/>
      <c r="N115" s="42"/>
    </row>
    <row r="116" spans="1:17" s="36" customFormat="1" ht="36" hidden="1" x14ac:dyDescent="0.2">
      <c r="A116" s="68"/>
      <c r="B116" s="78"/>
      <c r="C116" s="71" t="s">
        <v>524</v>
      </c>
      <c r="D116" s="62" t="s">
        <v>172</v>
      </c>
      <c r="E116" s="78"/>
      <c r="F116" s="72">
        <f>7915.61/1000</f>
        <v>7.91561</v>
      </c>
      <c r="G116" s="107">
        <v>0</v>
      </c>
      <c r="H116" s="195">
        <v>0</v>
      </c>
      <c r="I116" s="49">
        <v>0</v>
      </c>
      <c r="J116" s="73">
        <v>0</v>
      </c>
      <c r="K116" s="73">
        <v>0</v>
      </c>
      <c r="L116" s="73">
        <v>0</v>
      </c>
      <c r="M116" s="74"/>
      <c r="N116" s="42"/>
      <c r="O116" s="35"/>
    </row>
    <row r="117" spans="1:17" s="36" customFormat="1" ht="75" hidden="1" customHeight="1" x14ac:dyDescent="0.2">
      <c r="A117" s="62" t="s">
        <v>173</v>
      </c>
      <c r="B117" s="71" t="s">
        <v>405</v>
      </c>
      <c r="C117" s="71" t="s">
        <v>525</v>
      </c>
      <c r="D117" s="62" t="s">
        <v>172</v>
      </c>
      <c r="E117" s="71" t="s">
        <v>401</v>
      </c>
      <c r="F117" s="72">
        <f>7915.61/1000</f>
        <v>7.91561</v>
      </c>
      <c r="G117" s="107">
        <v>0</v>
      </c>
      <c r="H117" s="195">
        <v>0</v>
      </c>
      <c r="I117" s="49">
        <v>0</v>
      </c>
      <c r="J117" s="73">
        <v>0</v>
      </c>
      <c r="K117" s="73">
        <v>0</v>
      </c>
      <c r="L117" s="73">
        <v>0</v>
      </c>
      <c r="M117" s="74"/>
      <c r="N117" s="42"/>
      <c r="O117" s="35"/>
    </row>
    <row r="118" spans="1:17" ht="24" x14ac:dyDescent="0.2">
      <c r="A118" s="91"/>
      <c r="B118" s="127"/>
      <c r="C118" s="114" t="s">
        <v>526</v>
      </c>
      <c r="D118" s="116" t="s">
        <v>174</v>
      </c>
      <c r="E118" s="127"/>
      <c r="F118" s="144">
        <f>39166.84/1000</f>
        <v>39.166839999999993</v>
      </c>
      <c r="G118" s="112">
        <f>G119</f>
        <v>10.9</v>
      </c>
      <c r="H118" s="112">
        <f>H119</f>
        <v>8.1999999999999993</v>
      </c>
      <c r="I118" s="49">
        <f t="shared" ref="I118:L118" si="33">I119</f>
        <v>16</v>
      </c>
      <c r="J118" s="49">
        <f t="shared" si="33"/>
        <v>18.100000000000001</v>
      </c>
      <c r="K118" s="49">
        <f t="shared" si="33"/>
        <v>18.5</v>
      </c>
      <c r="L118" s="49">
        <f t="shared" si="33"/>
        <v>19</v>
      </c>
      <c r="M118" s="45"/>
      <c r="N118" s="42"/>
    </row>
    <row r="119" spans="1:17" ht="72" x14ac:dyDescent="0.2">
      <c r="A119" s="116" t="s">
        <v>177</v>
      </c>
      <c r="B119" s="114" t="s">
        <v>1228</v>
      </c>
      <c r="C119" s="114" t="s">
        <v>527</v>
      </c>
      <c r="D119" s="116" t="s">
        <v>174</v>
      </c>
      <c r="E119" s="114" t="s">
        <v>401</v>
      </c>
      <c r="F119" s="144">
        <f>39166.84/1000</f>
        <v>39.166839999999993</v>
      </c>
      <c r="G119" s="112">
        <v>10.9</v>
      </c>
      <c r="H119" s="112">
        <v>8.1999999999999993</v>
      </c>
      <c r="I119" s="49">
        <v>16</v>
      </c>
      <c r="J119" s="49">
        <v>18.100000000000001</v>
      </c>
      <c r="K119" s="49">
        <v>18.5</v>
      </c>
      <c r="L119" s="49">
        <v>19</v>
      </c>
      <c r="M119" s="45"/>
      <c r="N119" s="42"/>
    </row>
    <row r="120" spans="1:17" ht="24" x14ac:dyDescent="0.2">
      <c r="A120" s="91"/>
      <c r="B120" s="127"/>
      <c r="C120" s="114" t="s">
        <v>615</v>
      </c>
      <c r="D120" s="116" t="s">
        <v>581</v>
      </c>
      <c r="E120" s="127"/>
      <c r="F120" s="144">
        <f>902758.73/1000</f>
        <v>902.75873000000001</v>
      </c>
      <c r="G120" s="112">
        <f>G121</f>
        <v>570.20000000000005</v>
      </c>
      <c r="H120" s="112">
        <f>H121</f>
        <v>117.3</v>
      </c>
      <c r="I120" s="49">
        <f t="shared" ref="I120:L120" si="34">I121</f>
        <v>580</v>
      </c>
      <c r="J120" s="49">
        <f t="shared" si="34"/>
        <v>668.1</v>
      </c>
      <c r="K120" s="49">
        <f t="shared" si="34"/>
        <v>681.5</v>
      </c>
      <c r="L120" s="49">
        <f t="shared" si="34"/>
        <v>701.9</v>
      </c>
      <c r="M120" s="45"/>
      <c r="N120" s="42"/>
    </row>
    <row r="121" spans="1:17" ht="63" customHeight="1" x14ac:dyDescent="0.2">
      <c r="A121" s="116" t="s">
        <v>583</v>
      </c>
      <c r="B121" s="114" t="s">
        <v>1228</v>
      </c>
      <c r="C121" s="114" t="s">
        <v>616</v>
      </c>
      <c r="D121" s="116" t="s">
        <v>614</v>
      </c>
      <c r="E121" s="114" t="s">
        <v>401</v>
      </c>
      <c r="F121" s="144">
        <f>902758.73/1000</f>
        <v>902.75873000000001</v>
      </c>
      <c r="G121" s="112">
        <v>570.20000000000005</v>
      </c>
      <c r="H121" s="112">
        <v>117.3</v>
      </c>
      <c r="I121" s="49">
        <v>580</v>
      </c>
      <c r="J121" s="49">
        <v>668.1</v>
      </c>
      <c r="K121" s="49">
        <v>681.5</v>
      </c>
      <c r="L121" s="49">
        <v>701.9</v>
      </c>
      <c r="M121" s="45"/>
      <c r="N121" s="42"/>
    </row>
    <row r="122" spans="1:17" ht="24" x14ac:dyDescent="0.2">
      <c r="A122" s="91"/>
      <c r="B122" s="127"/>
      <c r="C122" s="114" t="s">
        <v>617</v>
      </c>
      <c r="D122" s="116" t="s">
        <v>619</v>
      </c>
      <c r="E122" s="127"/>
      <c r="F122" s="144">
        <f>902758.73/1000</f>
        <v>902.75873000000001</v>
      </c>
      <c r="G122" s="112">
        <f>G123</f>
        <v>0.5</v>
      </c>
      <c r="H122" s="112">
        <f>H123</f>
        <v>1.7</v>
      </c>
      <c r="I122" s="49">
        <f t="shared" ref="I122:L122" si="35">I123</f>
        <v>10</v>
      </c>
      <c r="J122" s="49">
        <f t="shared" si="35"/>
        <v>11</v>
      </c>
      <c r="K122" s="49">
        <f t="shared" si="35"/>
        <v>11.2</v>
      </c>
      <c r="L122" s="49">
        <f t="shared" si="35"/>
        <v>11.6</v>
      </c>
      <c r="M122" s="45"/>
      <c r="N122" s="42"/>
    </row>
    <row r="123" spans="1:17" ht="72" x14ac:dyDescent="0.2">
      <c r="A123" s="116" t="s">
        <v>588</v>
      </c>
      <c r="B123" s="114" t="s">
        <v>1228</v>
      </c>
      <c r="C123" s="114" t="s">
        <v>618</v>
      </c>
      <c r="D123" s="116" t="s">
        <v>619</v>
      </c>
      <c r="E123" s="114" t="s">
        <v>401</v>
      </c>
      <c r="F123" s="144">
        <f>902758.73/1000</f>
        <v>902.75873000000001</v>
      </c>
      <c r="G123" s="112">
        <v>0.5</v>
      </c>
      <c r="H123" s="112">
        <v>1.7</v>
      </c>
      <c r="I123" s="49">
        <v>10</v>
      </c>
      <c r="J123" s="49">
        <v>11</v>
      </c>
      <c r="K123" s="49">
        <v>11.2</v>
      </c>
      <c r="L123" s="49">
        <v>11.6</v>
      </c>
      <c r="M123" s="45"/>
    </row>
    <row r="124" spans="1:17" ht="24" x14ac:dyDescent="0.2">
      <c r="A124" s="91" t="s">
        <v>184</v>
      </c>
      <c r="B124" s="91"/>
      <c r="C124" s="127"/>
      <c r="D124" s="127"/>
      <c r="E124" s="127"/>
      <c r="F124" s="128"/>
      <c r="G124" s="121"/>
      <c r="H124" s="121"/>
      <c r="I124" s="64"/>
      <c r="J124" s="50"/>
      <c r="K124" s="50"/>
      <c r="L124" s="50"/>
      <c r="M124" s="51"/>
    </row>
    <row r="125" spans="1:17" ht="36" x14ac:dyDescent="0.2">
      <c r="A125" s="91"/>
      <c r="B125" s="91"/>
      <c r="C125" s="114" t="s">
        <v>528</v>
      </c>
      <c r="D125" s="116" t="s">
        <v>188</v>
      </c>
      <c r="E125" s="127"/>
      <c r="F125" s="144">
        <f>43910363.03/1000</f>
        <v>43910.36303</v>
      </c>
      <c r="G125" s="112">
        <v>60318.400000000001</v>
      </c>
      <c r="H125" s="112">
        <v>22021.7</v>
      </c>
      <c r="I125" s="49">
        <f>I126+I127</f>
        <v>59321.796000000002</v>
      </c>
      <c r="J125" s="49">
        <f>J126+J127</f>
        <v>64773.1</v>
      </c>
      <c r="K125" s="49">
        <f t="shared" ref="K125:L125" si="36">K126+K127</f>
        <v>64773.1</v>
      </c>
      <c r="L125" s="49">
        <f t="shared" si="36"/>
        <v>64773.1</v>
      </c>
      <c r="M125" s="45"/>
      <c r="N125" s="34">
        <f>I125+I129</f>
        <v>62783.082000000002</v>
      </c>
      <c r="O125" s="34">
        <f>J125+J129</f>
        <v>64773.1</v>
      </c>
      <c r="P125" s="34">
        <f t="shared" ref="P125:Q125" si="37">K125+K129</f>
        <v>64773.1</v>
      </c>
      <c r="Q125" s="34">
        <f t="shared" si="37"/>
        <v>64773.1</v>
      </c>
    </row>
    <row r="126" spans="1:17" ht="48" x14ac:dyDescent="0.2">
      <c r="A126" s="116" t="s">
        <v>188</v>
      </c>
      <c r="B126" s="114" t="s">
        <v>396</v>
      </c>
      <c r="C126" s="114" t="s">
        <v>529</v>
      </c>
      <c r="D126" s="116" t="s">
        <v>188</v>
      </c>
      <c r="E126" s="114" t="s">
        <v>624</v>
      </c>
      <c r="F126" s="144">
        <f>83348.95/1000</f>
        <v>83.348950000000002</v>
      </c>
      <c r="G126" s="112">
        <v>116</v>
      </c>
      <c r="H126" s="112">
        <v>36.4</v>
      </c>
      <c r="I126" s="49">
        <v>113</v>
      </c>
      <c r="J126" s="49">
        <v>113</v>
      </c>
      <c r="K126" s="49">
        <v>113</v>
      </c>
      <c r="L126" s="49">
        <v>113</v>
      </c>
      <c r="M126" s="45"/>
    </row>
    <row r="127" spans="1:17" ht="36" x14ac:dyDescent="0.2">
      <c r="A127" s="116" t="s">
        <v>403</v>
      </c>
      <c r="B127" s="114" t="s">
        <v>396</v>
      </c>
      <c r="C127" s="114" t="s">
        <v>530</v>
      </c>
      <c r="D127" s="116" t="s">
        <v>188</v>
      </c>
      <c r="E127" s="114" t="s">
        <v>399</v>
      </c>
      <c r="F127" s="144">
        <f>(43157840.36+669173.72)/1000</f>
        <v>43827.014080000001</v>
      </c>
      <c r="G127" s="112">
        <f>66.758+59352.3+783.296</f>
        <v>60202.354000000007</v>
      </c>
      <c r="H127" s="112">
        <v>21985.3</v>
      </c>
      <c r="I127" s="49">
        <f>58425.5+783.296</f>
        <v>59208.796000000002</v>
      </c>
      <c r="J127" s="49">
        <v>64660.1</v>
      </c>
      <c r="K127" s="49">
        <v>64660.1</v>
      </c>
      <c r="L127" s="49">
        <v>64660.1</v>
      </c>
      <c r="M127" s="45"/>
    </row>
    <row r="128" spans="1:17" ht="24" x14ac:dyDescent="0.2">
      <c r="A128" s="91" t="s">
        <v>199</v>
      </c>
      <c r="B128" s="91"/>
      <c r="C128" s="127"/>
      <c r="D128" s="127"/>
      <c r="E128" s="127"/>
      <c r="F128" s="128"/>
      <c r="G128" s="121"/>
      <c r="H128" s="121"/>
      <c r="I128" s="64"/>
      <c r="J128" s="50"/>
      <c r="K128" s="50"/>
      <c r="L128" s="50"/>
      <c r="M128" s="51"/>
    </row>
    <row r="129" spans="1:17" ht="24" x14ac:dyDescent="0.2">
      <c r="A129" s="91"/>
      <c r="B129" s="91"/>
      <c r="C129" s="114" t="s">
        <v>531</v>
      </c>
      <c r="D129" s="116" t="s">
        <v>201</v>
      </c>
      <c r="E129" s="127"/>
      <c r="F129" s="144">
        <f>328702.97/1000</f>
        <v>328.70296999999999</v>
      </c>
      <c r="G129" s="112">
        <v>5490.5</v>
      </c>
      <c r="H129" s="112">
        <v>4975.3999999999996</v>
      </c>
      <c r="I129" s="49">
        <f>I130+I131+I132+I134+I135+I136+I133</f>
        <v>3461.2859999999996</v>
      </c>
      <c r="J129" s="49">
        <v>0</v>
      </c>
      <c r="K129" s="49">
        <v>0</v>
      </c>
      <c r="L129" s="49">
        <v>0</v>
      </c>
      <c r="M129" s="45"/>
    </row>
    <row r="130" spans="1:17" ht="48" x14ac:dyDescent="0.2">
      <c r="A130" s="116" t="s">
        <v>201</v>
      </c>
      <c r="B130" s="114" t="s">
        <v>396</v>
      </c>
      <c r="C130" s="114" t="s">
        <v>532</v>
      </c>
      <c r="D130" s="116" t="s">
        <v>201</v>
      </c>
      <c r="E130" s="114" t="s">
        <v>624</v>
      </c>
      <c r="F130" s="144">
        <v>0</v>
      </c>
      <c r="G130" s="112">
        <v>328.9</v>
      </c>
      <c r="H130" s="112">
        <v>68.5</v>
      </c>
      <c r="I130" s="49">
        <v>316.42599999999999</v>
      </c>
      <c r="J130" s="49">
        <v>0</v>
      </c>
      <c r="K130" s="49">
        <v>0</v>
      </c>
      <c r="L130" s="49">
        <v>0</v>
      </c>
      <c r="M130" s="45"/>
    </row>
    <row r="131" spans="1:17" ht="36" x14ac:dyDescent="0.2">
      <c r="A131" s="116" t="s">
        <v>201</v>
      </c>
      <c r="B131" s="114" t="s">
        <v>396</v>
      </c>
      <c r="C131" s="114" t="s">
        <v>533</v>
      </c>
      <c r="D131" s="116" t="s">
        <v>201</v>
      </c>
      <c r="E131" s="114" t="s">
        <v>399</v>
      </c>
      <c r="F131" s="144">
        <f>(2100+26685.77)/1000</f>
        <v>28.785769999999999</v>
      </c>
      <c r="G131" s="112">
        <v>4560.8</v>
      </c>
      <c r="H131" s="112">
        <v>3287.4</v>
      </c>
      <c r="I131" s="49">
        <v>2544.0639999999999</v>
      </c>
      <c r="J131" s="49">
        <v>0</v>
      </c>
      <c r="K131" s="49">
        <v>0</v>
      </c>
      <c r="L131" s="49">
        <v>0</v>
      </c>
      <c r="M131" s="45"/>
    </row>
    <row r="132" spans="1:17" ht="48" x14ac:dyDescent="0.2">
      <c r="A132" s="116" t="s">
        <v>404</v>
      </c>
      <c r="B132" s="114" t="s">
        <v>396</v>
      </c>
      <c r="C132" s="114" t="s">
        <v>534</v>
      </c>
      <c r="D132" s="116" t="s">
        <v>201</v>
      </c>
      <c r="E132" s="114" t="s">
        <v>402</v>
      </c>
      <c r="F132" s="144">
        <f>299917.2/1000</f>
        <v>299.91720000000004</v>
      </c>
      <c r="G132" s="112">
        <v>403.2</v>
      </c>
      <c r="H132" s="112">
        <v>221.4</v>
      </c>
      <c r="I132" s="49">
        <v>403.24900000000002</v>
      </c>
      <c r="J132" s="49">
        <v>0</v>
      </c>
      <c r="K132" s="49">
        <v>0</v>
      </c>
      <c r="L132" s="49">
        <v>0</v>
      </c>
      <c r="M132" s="45"/>
    </row>
    <row r="133" spans="1:17" ht="36" x14ac:dyDescent="0.2">
      <c r="A133" s="116" t="s">
        <v>404</v>
      </c>
      <c r="B133" s="114" t="s">
        <v>396</v>
      </c>
      <c r="C133" s="114" t="s">
        <v>849</v>
      </c>
      <c r="D133" s="116" t="s">
        <v>201</v>
      </c>
      <c r="E133" s="114" t="s">
        <v>2</v>
      </c>
      <c r="F133" s="144"/>
      <c r="G133" s="112">
        <v>24</v>
      </c>
      <c r="H133" s="112">
        <v>151.69999999999999</v>
      </c>
      <c r="I133" s="49">
        <v>23.952000000000002</v>
      </c>
      <c r="J133" s="49">
        <v>0</v>
      </c>
      <c r="K133" s="49">
        <v>0</v>
      </c>
      <c r="L133" s="49">
        <v>0</v>
      </c>
      <c r="M133" s="45"/>
    </row>
    <row r="134" spans="1:17" ht="108" x14ac:dyDescent="0.2">
      <c r="A134" s="116" t="s">
        <v>404</v>
      </c>
      <c r="B134" s="114" t="s">
        <v>396</v>
      </c>
      <c r="C134" s="114" t="s">
        <v>620</v>
      </c>
      <c r="D134" s="116" t="s">
        <v>201</v>
      </c>
      <c r="E134" s="138" t="s">
        <v>623</v>
      </c>
      <c r="F134" s="144"/>
      <c r="G134" s="112">
        <v>173.6</v>
      </c>
      <c r="H134" s="112">
        <v>1246.4000000000001</v>
      </c>
      <c r="I134" s="49">
        <v>173.595</v>
      </c>
      <c r="J134" s="49">
        <v>0</v>
      </c>
      <c r="K134" s="49">
        <v>0</v>
      </c>
      <c r="L134" s="49">
        <v>0</v>
      </c>
      <c r="M134" s="45"/>
    </row>
    <row r="135" spans="1:17" ht="84" hidden="1" x14ac:dyDescent="0.2">
      <c r="A135" s="116" t="s">
        <v>404</v>
      </c>
      <c r="B135" s="114" t="s">
        <v>396</v>
      </c>
      <c r="C135" s="114" t="s">
        <v>621</v>
      </c>
      <c r="D135" s="116" t="s">
        <v>201</v>
      </c>
      <c r="E135" s="114" t="s">
        <v>432</v>
      </c>
      <c r="F135" s="144"/>
      <c r="G135" s="112"/>
      <c r="H135" s="112">
        <v>0</v>
      </c>
      <c r="I135" s="49">
        <v>0</v>
      </c>
      <c r="J135" s="49">
        <v>0</v>
      </c>
      <c r="K135" s="49">
        <v>0</v>
      </c>
      <c r="L135" s="49">
        <v>0</v>
      </c>
      <c r="M135" s="45"/>
    </row>
    <row r="136" spans="1:17" ht="36" hidden="1" x14ac:dyDescent="0.2">
      <c r="A136" s="116" t="s">
        <v>404</v>
      </c>
      <c r="B136" s="114" t="s">
        <v>396</v>
      </c>
      <c r="C136" s="114" t="s">
        <v>622</v>
      </c>
      <c r="D136" s="116" t="s">
        <v>201</v>
      </c>
      <c r="E136" s="114" t="s">
        <v>407</v>
      </c>
      <c r="F136" s="144"/>
      <c r="G136" s="112"/>
      <c r="H136" s="112">
        <v>0</v>
      </c>
      <c r="I136" s="49">
        <v>0</v>
      </c>
      <c r="J136" s="49">
        <v>0</v>
      </c>
      <c r="K136" s="49">
        <v>0</v>
      </c>
      <c r="L136" s="49">
        <v>0</v>
      </c>
      <c r="M136" s="45"/>
    </row>
    <row r="137" spans="1:17" ht="96" hidden="1" x14ac:dyDescent="0.2">
      <c r="A137" s="116" t="s">
        <v>404</v>
      </c>
      <c r="B137" s="114" t="s">
        <v>396</v>
      </c>
      <c r="C137" s="114" t="s">
        <v>850</v>
      </c>
      <c r="D137" s="116" t="s">
        <v>201</v>
      </c>
      <c r="E137" s="114" t="s">
        <v>414</v>
      </c>
      <c r="F137" s="144"/>
      <c r="G137" s="112"/>
      <c r="H137" s="112">
        <v>0</v>
      </c>
      <c r="I137" s="49">
        <v>0</v>
      </c>
      <c r="J137" s="49">
        <v>0</v>
      </c>
      <c r="K137" s="49">
        <v>0</v>
      </c>
      <c r="L137" s="49">
        <v>0</v>
      </c>
      <c r="M137" s="45"/>
    </row>
    <row r="138" spans="1:17" ht="132" x14ac:dyDescent="0.2">
      <c r="A138" s="119" t="s">
        <v>422</v>
      </c>
      <c r="B138" s="114"/>
      <c r="C138" s="114"/>
      <c r="D138" s="116"/>
      <c r="E138" s="114"/>
      <c r="F138" s="144"/>
      <c r="G138" s="139"/>
      <c r="H138" s="139"/>
      <c r="I138" s="64"/>
      <c r="J138" s="50"/>
      <c r="K138" s="50"/>
      <c r="L138" s="50"/>
      <c r="M138" s="51"/>
    </row>
    <row r="139" spans="1:17" ht="108" x14ac:dyDescent="0.2">
      <c r="A139" s="116"/>
      <c r="B139" s="114"/>
      <c r="C139" s="114" t="s">
        <v>535</v>
      </c>
      <c r="D139" s="113" t="s">
        <v>423</v>
      </c>
      <c r="E139" s="114"/>
      <c r="F139" s="144">
        <v>0</v>
      </c>
      <c r="G139" s="112">
        <f>G140</f>
        <v>72</v>
      </c>
      <c r="H139" s="112">
        <f>H140</f>
        <v>2521.5</v>
      </c>
      <c r="I139" s="49">
        <f t="shared" ref="I139:L139" si="38">I140</f>
        <v>72</v>
      </c>
      <c r="J139" s="49">
        <f t="shared" si="38"/>
        <v>0</v>
      </c>
      <c r="K139" s="49">
        <f t="shared" si="38"/>
        <v>0</v>
      </c>
      <c r="L139" s="49">
        <f t="shared" si="38"/>
        <v>0</v>
      </c>
      <c r="M139" s="45"/>
      <c r="N139" s="34">
        <f>I139+I142+I144+I148+I153</f>
        <v>5412.6</v>
      </c>
      <c r="O139" s="34">
        <f t="shared" ref="O139:Q139" si="39">J139+J142+J144+J148+J153</f>
        <v>802.2</v>
      </c>
      <c r="P139" s="34">
        <f t="shared" si="39"/>
        <v>804</v>
      </c>
      <c r="Q139" s="34">
        <f t="shared" si="39"/>
        <v>804</v>
      </c>
    </row>
    <row r="140" spans="1:17" ht="108" x14ac:dyDescent="0.2">
      <c r="A140" s="113" t="s">
        <v>423</v>
      </c>
      <c r="B140" s="114" t="s">
        <v>396</v>
      </c>
      <c r="C140" s="114" t="s">
        <v>536</v>
      </c>
      <c r="D140" s="113" t="s">
        <v>423</v>
      </c>
      <c r="E140" s="138" t="s">
        <v>623</v>
      </c>
      <c r="F140" s="144">
        <v>0</v>
      </c>
      <c r="G140" s="112">
        <v>72</v>
      </c>
      <c r="H140" s="112">
        <v>2521.5</v>
      </c>
      <c r="I140" s="49">
        <v>72</v>
      </c>
      <c r="J140" s="49">
        <v>0</v>
      </c>
      <c r="K140" s="49">
        <v>0</v>
      </c>
      <c r="L140" s="49">
        <v>0</v>
      </c>
      <c r="M140" s="45"/>
    </row>
    <row r="141" spans="1:17" ht="48" x14ac:dyDescent="0.2">
      <c r="A141" s="91" t="s">
        <v>210</v>
      </c>
      <c r="B141" s="91"/>
      <c r="C141" s="127"/>
      <c r="D141" s="127"/>
      <c r="E141" s="127"/>
      <c r="F141" s="128"/>
      <c r="G141" s="121"/>
      <c r="H141" s="121"/>
      <c r="I141" s="64"/>
      <c r="J141" s="50"/>
      <c r="K141" s="50"/>
      <c r="L141" s="50"/>
      <c r="M141" s="51"/>
    </row>
    <row r="142" spans="1:17" ht="72" x14ac:dyDescent="0.2">
      <c r="A142" s="116"/>
      <c r="B142" s="116"/>
      <c r="C142" s="114" t="s">
        <v>537</v>
      </c>
      <c r="D142" s="116" t="s">
        <v>593</v>
      </c>
      <c r="E142" s="127"/>
      <c r="F142" s="144">
        <v>0</v>
      </c>
      <c r="G142" s="112">
        <f>G143</f>
        <v>920.3</v>
      </c>
      <c r="H142" s="112">
        <f>H143</f>
        <v>208.4</v>
      </c>
      <c r="I142" s="49">
        <f t="shared" ref="I142:L142" si="40">I143</f>
        <v>920</v>
      </c>
      <c r="J142" s="49">
        <f t="shared" si="40"/>
        <v>300</v>
      </c>
      <c r="K142" s="49">
        <f t="shared" si="40"/>
        <v>300</v>
      </c>
      <c r="L142" s="49">
        <f t="shared" si="40"/>
        <v>300</v>
      </c>
      <c r="M142" s="74">
        <f>I142+I144+I148</f>
        <v>5327.5</v>
      </c>
      <c r="N142" s="74">
        <f t="shared" ref="N142:O142" si="41">J142+J144+J148</f>
        <v>802.2</v>
      </c>
      <c r="O142" s="74">
        <f t="shared" si="41"/>
        <v>804</v>
      </c>
      <c r="P142" s="74">
        <f>L142+L144+L148</f>
        <v>804</v>
      </c>
    </row>
    <row r="143" spans="1:17" ht="108" x14ac:dyDescent="0.2">
      <c r="A143" s="116" t="s">
        <v>593</v>
      </c>
      <c r="B143" s="114" t="s">
        <v>396</v>
      </c>
      <c r="C143" s="114" t="s">
        <v>538</v>
      </c>
      <c r="D143" s="116" t="s">
        <v>593</v>
      </c>
      <c r="E143" s="138" t="s">
        <v>623</v>
      </c>
      <c r="F143" s="144">
        <v>0</v>
      </c>
      <c r="G143" s="112">
        <v>920.3</v>
      </c>
      <c r="H143" s="112">
        <v>208.4</v>
      </c>
      <c r="I143" s="49">
        <v>920</v>
      </c>
      <c r="J143" s="49">
        <v>300</v>
      </c>
      <c r="K143" s="49">
        <v>300</v>
      </c>
      <c r="L143" s="49">
        <v>300</v>
      </c>
      <c r="M143" s="45"/>
    </row>
    <row r="144" spans="1:17" ht="60" x14ac:dyDescent="0.2">
      <c r="A144" s="91"/>
      <c r="B144" s="127"/>
      <c r="C144" s="114" t="s">
        <v>539</v>
      </c>
      <c r="D144" s="116" t="s">
        <v>212</v>
      </c>
      <c r="E144" s="127"/>
      <c r="F144" s="144">
        <f>2488562/1000</f>
        <v>2488.5619999999999</v>
      </c>
      <c r="G144" s="149">
        <v>4127.8999999999996</v>
      </c>
      <c r="H144" s="112">
        <f>H145+H146</f>
        <v>1039.5999999999999</v>
      </c>
      <c r="I144" s="49">
        <f>I145+I146</f>
        <v>4041.5</v>
      </c>
      <c r="J144" s="49">
        <f t="shared" ref="J144:L144" si="42">J145+J146</f>
        <v>502.2</v>
      </c>
      <c r="K144" s="49">
        <f t="shared" si="42"/>
        <v>504</v>
      </c>
      <c r="L144" s="49">
        <f t="shared" si="42"/>
        <v>504</v>
      </c>
      <c r="M144" s="45"/>
    </row>
    <row r="145" spans="1:13" ht="60" x14ac:dyDescent="0.2">
      <c r="A145" s="116" t="s">
        <v>212</v>
      </c>
      <c r="B145" s="114" t="s">
        <v>397</v>
      </c>
      <c r="C145" s="114" t="s">
        <v>540</v>
      </c>
      <c r="D145" s="116" t="s">
        <v>212</v>
      </c>
      <c r="E145" s="114" t="s">
        <v>400</v>
      </c>
      <c r="F145" s="144">
        <f>436511.52/1000</f>
        <v>436.51152000000002</v>
      </c>
      <c r="G145" s="112">
        <v>2720.6</v>
      </c>
      <c r="H145" s="112">
        <v>185.2</v>
      </c>
      <c r="I145" s="49">
        <v>2626.5</v>
      </c>
      <c r="J145" s="49">
        <v>302.2</v>
      </c>
      <c r="K145" s="49">
        <v>304</v>
      </c>
      <c r="L145" s="49">
        <v>304</v>
      </c>
      <c r="M145" s="45"/>
    </row>
    <row r="146" spans="1:13" ht="60" x14ac:dyDescent="0.2">
      <c r="A146" s="116" t="s">
        <v>212</v>
      </c>
      <c r="B146" s="114" t="s">
        <v>397</v>
      </c>
      <c r="C146" s="114" t="s">
        <v>541</v>
      </c>
      <c r="D146" s="116" t="s">
        <v>212</v>
      </c>
      <c r="E146" s="114" t="s">
        <v>400</v>
      </c>
      <c r="F146" s="144">
        <f>1708737.01/1000</f>
        <v>1708.7370100000001</v>
      </c>
      <c r="G146" s="112">
        <v>1407.3</v>
      </c>
      <c r="H146" s="112">
        <v>854.4</v>
      </c>
      <c r="I146" s="49">
        <v>1415</v>
      </c>
      <c r="J146" s="49">
        <v>200</v>
      </c>
      <c r="K146" s="49">
        <v>200</v>
      </c>
      <c r="L146" s="49">
        <v>200</v>
      </c>
      <c r="M146" s="45"/>
    </row>
    <row r="147" spans="1:13" ht="72" x14ac:dyDescent="0.2">
      <c r="A147" s="91" t="s">
        <v>738</v>
      </c>
      <c r="B147" s="114"/>
      <c r="C147" s="114"/>
      <c r="D147" s="116"/>
      <c r="E147" s="114"/>
      <c r="F147" s="144"/>
      <c r="G147" s="112"/>
      <c r="H147" s="112"/>
      <c r="I147" s="49"/>
      <c r="J147" s="54"/>
      <c r="K147" s="54"/>
      <c r="L147" s="54"/>
      <c r="M147" s="45"/>
    </row>
    <row r="148" spans="1:13" ht="72" x14ac:dyDescent="0.2">
      <c r="A148" s="116"/>
      <c r="B148" s="114"/>
      <c r="C148" s="114" t="s">
        <v>862</v>
      </c>
      <c r="D148" s="116" t="s">
        <v>740</v>
      </c>
      <c r="E148" s="114"/>
      <c r="F148" s="144"/>
      <c r="G148" s="112">
        <f>G149</f>
        <v>366</v>
      </c>
      <c r="H148" s="112">
        <f t="shared" ref="H148:L148" si="43">H149</f>
        <v>0</v>
      </c>
      <c r="I148" s="49">
        <f t="shared" si="43"/>
        <v>366</v>
      </c>
      <c r="J148" s="49">
        <f t="shared" si="43"/>
        <v>0</v>
      </c>
      <c r="K148" s="49">
        <f t="shared" si="43"/>
        <v>0</v>
      </c>
      <c r="L148" s="49">
        <f t="shared" si="43"/>
        <v>0</v>
      </c>
      <c r="M148" s="45"/>
    </row>
    <row r="149" spans="1:13" ht="108" x14ac:dyDescent="0.2">
      <c r="A149" s="116" t="s">
        <v>740</v>
      </c>
      <c r="B149" s="114" t="s">
        <v>396</v>
      </c>
      <c r="C149" s="114" t="s">
        <v>861</v>
      </c>
      <c r="D149" s="116" t="s">
        <v>740</v>
      </c>
      <c r="E149" s="138" t="s">
        <v>623</v>
      </c>
      <c r="F149" s="144"/>
      <c r="G149" s="112">
        <v>366</v>
      </c>
      <c r="H149" s="112">
        <v>0</v>
      </c>
      <c r="I149" s="49">
        <v>366</v>
      </c>
      <c r="J149" s="49">
        <v>0</v>
      </c>
      <c r="K149" s="49">
        <v>0</v>
      </c>
      <c r="L149" s="49">
        <v>0</v>
      </c>
      <c r="M149" s="45"/>
    </row>
    <row r="150" spans="1:13" ht="96" x14ac:dyDescent="0.2">
      <c r="A150" s="91" t="s">
        <v>475</v>
      </c>
      <c r="B150" s="114"/>
      <c r="C150" s="114"/>
      <c r="D150" s="116"/>
      <c r="E150" s="114"/>
      <c r="F150" s="144"/>
      <c r="G150" s="139"/>
      <c r="H150" s="139"/>
      <c r="I150" s="49"/>
      <c r="J150" s="54"/>
      <c r="K150" s="54"/>
      <c r="L150" s="54"/>
      <c r="M150" s="45"/>
    </row>
    <row r="151" spans="1:13" ht="132" x14ac:dyDescent="0.2">
      <c r="A151" s="91"/>
      <c r="B151" s="114"/>
      <c r="C151" s="114" t="s">
        <v>886</v>
      </c>
      <c r="D151" s="115" t="s">
        <v>879</v>
      </c>
      <c r="E151" s="114"/>
      <c r="F151" s="144"/>
      <c r="G151" s="112">
        <f>G152</f>
        <v>0.9</v>
      </c>
      <c r="H151" s="112">
        <f t="shared" ref="H151:L152" si="44">H152</f>
        <v>3.9</v>
      </c>
      <c r="I151" s="49">
        <f t="shared" si="44"/>
        <v>0.9</v>
      </c>
      <c r="J151" s="49">
        <f t="shared" si="44"/>
        <v>0</v>
      </c>
      <c r="K151" s="49">
        <f t="shared" si="44"/>
        <v>0</v>
      </c>
      <c r="L151" s="49">
        <f t="shared" si="44"/>
        <v>0</v>
      </c>
      <c r="M151" s="45"/>
    </row>
    <row r="152" spans="1:13" ht="132" x14ac:dyDescent="0.2">
      <c r="A152" s="116" t="s">
        <v>879</v>
      </c>
      <c r="B152" s="114" t="s">
        <v>396</v>
      </c>
      <c r="C152" s="114" t="s">
        <v>887</v>
      </c>
      <c r="D152" s="115" t="s">
        <v>879</v>
      </c>
      <c r="E152" s="114" t="s">
        <v>623</v>
      </c>
      <c r="F152" s="144"/>
      <c r="G152" s="112">
        <v>0.9</v>
      </c>
      <c r="H152" s="112">
        <v>3.9</v>
      </c>
      <c r="I152" s="49">
        <v>0.9</v>
      </c>
      <c r="J152" s="49">
        <f t="shared" si="44"/>
        <v>0</v>
      </c>
      <c r="K152" s="49">
        <f t="shared" si="44"/>
        <v>0</v>
      </c>
      <c r="L152" s="49">
        <f t="shared" si="44"/>
        <v>0</v>
      </c>
      <c r="M152" s="45"/>
    </row>
    <row r="153" spans="1:13" ht="108" x14ac:dyDescent="0.2">
      <c r="A153" s="91"/>
      <c r="B153" s="114"/>
      <c r="C153" s="114" t="s">
        <v>851</v>
      </c>
      <c r="D153" s="115" t="s">
        <v>1230</v>
      </c>
      <c r="E153" s="114"/>
      <c r="F153" s="144"/>
      <c r="G153" s="112">
        <f t="shared" ref="G153:L153" si="45">G154</f>
        <v>18.899999999999999</v>
      </c>
      <c r="H153" s="112">
        <f t="shared" si="45"/>
        <v>32.200000000000003</v>
      </c>
      <c r="I153" s="49">
        <f t="shared" si="45"/>
        <v>13.1</v>
      </c>
      <c r="J153" s="49">
        <f t="shared" si="45"/>
        <v>0</v>
      </c>
      <c r="K153" s="49">
        <f t="shared" si="45"/>
        <v>0</v>
      </c>
      <c r="L153" s="49">
        <f t="shared" si="45"/>
        <v>0</v>
      </c>
      <c r="M153" s="45"/>
    </row>
    <row r="154" spans="1:13" ht="108" x14ac:dyDescent="0.2">
      <c r="A154" s="115" t="s">
        <v>477</v>
      </c>
      <c r="B154" s="114" t="s">
        <v>397</v>
      </c>
      <c r="C154" s="114" t="s">
        <v>625</v>
      </c>
      <c r="D154" s="115" t="s">
        <v>477</v>
      </c>
      <c r="E154" s="114" t="s">
        <v>400</v>
      </c>
      <c r="F154" s="144"/>
      <c r="G154" s="112">
        <v>18.899999999999999</v>
      </c>
      <c r="H154" s="112">
        <v>32.200000000000003</v>
      </c>
      <c r="I154" s="49">
        <v>13.1</v>
      </c>
      <c r="J154" s="49">
        <v>0</v>
      </c>
      <c r="K154" s="49">
        <v>0</v>
      </c>
      <c r="L154" s="49">
        <v>0</v>
      </c>
      <c r="M154" s="45"/>
    </row>
    <row r="155" spans="1:13" ht="84" x14ac:dyDescent="0.2">
      <c r="A155" s="179" t="s">
        <v>915</v>
      </c>
      <c r="B155" s="114"/>
      <c r="C155" s="114"/>
      <c r="D155" s="115"/>
      <c r="E155" s="114"/>
      <c r="F155" s="144"/>
      <c r="G155" s="112"/>
      <c r="H155" s="112"/>
      <c r="I155" s="49"/>
      <c r="J155" s="49"/>
      <c r="K155" s="49"/>
      <c r="L155" s="49"/>
      <c r="M155" s="45"/>
    </row>
    <row r="156" spans="1:13" ht="108" x14ac:dyDescent="0.2">
      <c r="A156" s="115"/>
      <c r="B156" s="114"/>
      <c r="C156" s="180" t="s">
        <v>917</v>
      </c>
      <c r="D156" s="181" t="s">
        <v>916</v>
      </c>
      <c r="E156" s="114"/>
      <c r="F156" s="144"/>
      <c r="G156" s="112">
        <v>0</v>
      </c>
      <c r="H156" s="112">
        <f>H157+H158</f>
        <v>50.7</v>
      </c>
      <c r="I156" s="49"/>
      <c r="J156" s="49"/>
      <c r="K156" s="49"/>
      <c r="L156" s="49"/>
      <c r="M156" s="45"/>
    </row>
    <row r="157" spans="1:13" ht="168" x14ac:dyDescent="0.2">
      <c r="A157" s="174" t="s">
        <v>918</v>
      </c>
      <c r="B157" s="114" t="s">
        <v>397</v>
      </c>
      <c r="C157" s="180" t="s">
        <v>921</v>
      </c>
      <c r="D157" s="246" t="s">
        <v>1231</v>
      </c>
      <c r="E157" s="182" t="s">
        <v>923</v>
      </c>
      <c r="F157" s="144"/>
      <c r="G157" s="112">
        <v>0</v>
      </c>
      <c r="H157" s="112">
        <v>1.7</v>
      </c>
      <c r="I157" s="49"/>
      <c r="J157" s="49"/>
      <c r="K157" s="49"/>
      <c r="L157" s="49"/>
      <c r="M157" s="45"/>
    </row>
    <row r="158" spans="1:13" ht="132" x14ac:dyDescent="0.2">
      <c r="A158" s="174" t="s">
        <v>919</v>
      </c>
      <c r="B158" s="231" t="s">
        <v>397</v>
      </c>
      <c r="C158" s="240" t="s">
        <v>922</v>
      </c>
      <c r="D158" s="247"/>
      <c r="E158" s="231" t="s">
        <v>924</v>
      </c>
      <c r="F158" s="144"/>
      <c r="G158" s="243">
        <v>0</v>
      </c>
      <c r="H158" s="243">
        <v>49</v>
      </c>
      <c r="I158" s="49"/>
      <c r="J158" s="49"/>
      <c r="K158" s="49"/>
      <c r="L158" s="49"/>
      <c r="M158" s="45"/>
    </row>
    <row r="159" spans="1:13" ht="108" x14ac:dyDescent="0.2">
      <c r="A159" s="174" t="s">
        <v>920</v>
      </c>
      <c r="B159" s="233"/>
      <c r="C159" s="242"/>
      <c r="D159" s="248"/>
      <c r="E159" s="233"/>
      <c r="F159" s="144"/>
      <c r="G159" s="245"/>
      <c r="H159" s="245"/>
      <c r="I159" s="49"/>
      <c r="J159" s="49"/>
      <c r="K159" s="49"/>
      <c r="L159" s="49"/>
      <c r="M159" s="45"/>
    </row>
    <row r="160" spans="1:13" ht="120" x14ac:dyDescent="0.2">
      <c r="A160" s="183" t="s">
        <v>925</v>
      </c>
      <c r="B160" s="156"/>
      <c r="C160" s="184"/>
      <c r="D160" s="185"/>
      <c r="E160" s="156"/>
      <c r="F160" s="144"/>
      <c r="G160" s="160"/>
      <c r="H160" s="160"/>
      <c r="I160" s="49"/>
      <c r="J160" s="49"/>
      <c r="K160" s="49"/>
      <c r="L160" s="49"/>
      <c r="M160" s="45"/>
    </row>
    <row r="161" spans="1:13" ht="132" x14ac:dyDescent="0.2">
      <c r="A161" s="174"/>
      <c r="B161" s="156"/>
      <c r="C161" s="186" t="s">
        <v>927</v>
      </c>
      <c r="D161" s="174" t="s">
        <v>926</v>
      </c>
      <c r="E161" s="156"/>
      <c r="F161" s="144"/>
      <c r="G161" s="160">
        <v>0</v>
      </c>
      <c r="H161" s="160">
        <f>H162+H163+H164+H165</f>
        <v>70.7</v>
      </c>
      <c r="I161" s="49"/>
      <c r="J161" s="49"/>
      <c r="K161" s="49"/>
      <c r="L161" s="49"/>
      <c r="M161" s="45"/>
    </row>
    <row r="162" spans="1:13" ht="240" x14ac:dyDescent="0.2">
      <c r="A162" s="174" t="s">
        <v>928</v>
      </c>
      <c r="B162" s="231" t="s">
        <v>397</v>
      </c>
      <c r="C162" s="186" t="s">
        <v>932</v>
      </c>
      <c r="D162" s="237" t="s">
        <v>926</v>
      </c>
      <c r="E162" s="114" t="s">
        <v>924</v>
      </c>
      <c r="F162" s="144"/>
      <c r="G162" s="160">
        <v>0</v>
      </c>
      <c r="H162" s="160">
        <v>4</v>
      </c>
      <c r="I162" s="49"/>
      <c r="J162" s="49"/>
      <c r="K162" s="49"/>
      <c r="L162" s="49"/>
      <c r="M162" s="45"/>
    </row>
    <row r="163" spans="1:13" ht="240" x14ac:dyDescent="0.2">
      <c r="A163" s="174" t="s">
        <v>929</v>
      </c>
      <c r="B163" s="233"/>
      <c r="C163" s="186" t="s">
        <v>932</v>
      </c>
      <c r="D163" s="238"/>
      <c r="E163" s="114" t="s">
        <v>924</v>
      </c>
      <c r="F163" s="144"/>
      <c r="G163" s="160">
        <v>0</v>
      </c>
      <c r="H163" s="160">
        <v>26.5</v>
      </c>
      <c r="I163" s="49"/>
      <c r="J163" s="49"/>
      <c r="K163" s="49"/>
      <c r="L163" s="49"/>
      <c r="M163" s="45"/>
    </row>
    <row r="164" spans="1:13" ht="77.25" customHeight="1" x14ac:dyDescent="0.2">
      <c r="A164" s="237" t="s">
        <v>930</v>
      </c>
      <c r="B164" s="201" t="s">
        <v>397</v>
      </c>
      <c r="C164" s="186" t="s">
        <v>931</v>
      </c>
      <c r="D164" s="238"/>
      <c r="E164" s="182" t="s">
        <v>923</v>
      </c>
      <c r="F164" s="144"/>
      <c r="G164" s="160">
        <v>0</v>
      </c>
      <c r="H164" s="160">
        <v>2.5</v>
      </c>
      <c r="I164" s="49"/>
      <c r="J164" s="49"/>
      <c r="K164" s="49"/>
      <c r="L164" s="49"/>
      <c r="M164" s="45"/>
    </row>
    <row r="165" spans="1:13" ht="74.25" customHeight="1" x14ac:dyDescent="0.2">
      <c r="A165" s="239"/>
      <c r="B165" s="201" t="s">
        <v>397</v>
      </c>
      <c r="C165" s="186" t="s">
        <v>932</v>
      </c>
      <c r="D165" s="239"/>
      <c r="E165" s="114" t="s">
        <v>924</v>
      </c>
      <c r="F165" s="144"/>
      <c r="G165" s="160">
        <v>0</v>
      </c>
      <c r="H165" s="160">
        <v>37.700000000000003</v>
      </c>
      <c r="I165" s="49"/>
      <c r="J165" s="49"/>
      <c r="K165" s="49"/>
      <c r="L165" s="49"/>
      <c r="M165" s="45"/>
    </row>
    <row r="166" spans="1:13" ht="74.25" customHeight="1" x14ac:dyDescent="0.2">
      <c r="A166" s="183" t="s">
        <v>933</v>
      </c>
      <c r="B166" s="114"/>
      <c r="C166" s="186"/>
      <c r="D166" s="187"/>
      <c r="E166" s="176"/>
      <c r="F166" s="144"/>
      <c r="G166" s="160"/>
      <c r="H166" s="160"/>
      <c r="I166" s="49"/>
      <c r="J166" s="49"/>
      <c r="K166" s="49"/>
      <c r="L166" s="49"/>
      <c r="M166" s="45"/>
    </row>
    <row r="167" spans="1:13" ht="110.25" customHeight="1" x14ac:dyDescent="0.2">
      <c r="A167" s="188"/>
      <c r="B167" s="156"/>
      <c r="C167" s="186" t="s">
        <v>935</v>
      </c>
      <c r="D167" s="174" t="s">
        <v>934</v>
      </c>
      <c r="E167" s="176"/>
      <c r="F167" s="144"/>
      <c r="G167" s="160">
        <v>0</v>
      </c>
      <c r="H167" s="160">
        <f>H168</f>
        <v>1.7</v>
      </c>
      <c r="I167" s="49"/>
      <c r="J167" s="49"/>
      <c r="K167" s="49"/>
      <c r="L167" s="49"/>
      <c r="M167" s="45"/>
    </row>
    <row r="168" spans="1:13" ht="125.25" customHeight="1" x14ac:dyDescent="0.2">
      <c r="A168" s="174" t="s">
        <v>936</v>
      </c>
      <c r="B168" s="231" t="s">
        <v>397</v>
      </c>
      <c r="C168" s="240" t="s">
        <v>938</v>
      </c>
      <c r="D168" s="237" t="s">
        <v>934</v>
      </c>
      <c r="E168" s="231"/>
      <c r="F168" s="144"/>
      <c r="G168" s="243">
        <v>0</v>
      </c>
      <c r="H168" s="243">
        <v>1.7</v>
      </c>
      <c r="I168" s="49"/>
      <c r="J168" s="49"/>
      <c r="K168" s="49"/>
      <c r="L168" s="49"/>
      <c r="M168" s="45"/>
    </row>
    <row r="169" spans="1:13" ht="111" customHeight="1" x14ac:dyDescent="0.2">
      <c r="A169" s="174" t="s">
        <v>937</v>
      </c>
      <c r="B169" s="233"/>
      <c r="C169" s="242"/>
      <c r="D169" s="239"/>
      <c r="E169" s="233"/>
      <c r="F169" s="144"/>
      <c r="G169" s="245"/>
      <c r="H169" s="245"/>
      <c r="I169" s="49"/>
      <c r="J169" s="49"/>
      <c r="K169" s="49"/>
      <c r="L169" s="49"/>
      <c r="M169" s="45"/>
    </row>
    <row r="170" spans="1:13" ht="89.25" customHeight="1" x14ac:dyDescent="0.2">
      <c r="A170" s="183" t="s">
        <v>939</v>
      </c>
      <c r="B170" s="114"/>
      <c r="C170" s="184"/>
      <c r="D170" s="188"/>
      <c r="E170" s="156"/>
      <c r="F170" s="144"/>
      <c r="G170" s="160"/>
      <c r="H170" s="160"/>
      <c r="I170" s="49"/>
      <c r="J170" s="49"/>
      <c r="K170" s="49"/>
      <c r="L170" s="49"/>
      <c r="M170" s="45"/>
    </row>
    <row r="171" spans="1:13" ht="119.25" customHeight="1" x14ac:dyDescent="0.2">
      <c r="A171" s="183"/>
      <c r="B171" s="156"/>
      <c r="C171" s="186" t="s">
        <v>941</v>
      </c>
      <c r="D171" s="174" t="s">
        <v>940</v>
      </c>
      <c r="E171" s="156"/>
      <c r="F171" s="144"/>
      <c r="G171" s="160">
        <v>0</v>
      </c>
      <c r="H171" s="160">
        <f>H172</f>
        <v>141</v>
      </c>
      <c r="I171" s="49"/>
      <c r="J171" s="49"/>
      <c r="K171" s="49"/>
      <c r="L171" s="49"/>
      <c r="M171" s="45"/>
    </row>
    <row r="172" spans="1:13" ht="159" customHeight="1" x14ac:dyDescent="0.2">
      <c r="A172" s="174" t="s">
        <v>942</v>
      </c>
      <c r="B172" s="231" t="s">
        <v>397</v>
      </c>
      <c r="C172" s="240" t="s">
        <v>945</v>
      </c>
      <c r="D172" s="237" t="s">
        <v>940</v>
      </c>
      <c r="E172" s="231" t="s">
        <v>924</v>
      </c>
      <c r="F172" s="144"/>
      <c r="G172" s="243">
        <v>0</v>
      </c>
      <c r="H172" s="243">
        <v>141</v>
      </c>
      <c r="I172" s="49"/>
      <c r="J172" s="49"/>
      <c r="K172" s="49"/>
      <c r="L172" s="49"/>
      <c r="M172" s="45"/>
    </row>
    <row r="173" spans="1:13" ht="163.5" customHeight="1" x14ac:dyDescent="0.2">
      <c r="A173" s="174" t="s">
        <v>943</v>
      </c>
      <c r="B173" s="232"/>
      <c r="C173" s="241"/>
      <c r="D173" s="238"/>
      <c r="E173" s="232"/>
      <c r="F173" s="144"/>
      <c r="G173" s="244"/>
      <c r="H173" s="244"/>
      <c r="I173" s="49"/>
      <c r="J173" s="49"/>
      <c r="K173" s="49"/>
      <c r="L173" s="49"/>
      <c r="M173" s="45"/>
    </row>
    <row r="174" spans="1:13" ht="144" customHeight="1" x14ac:dyDescent="0.2">
      <c r="A174" s="174" t="s">
        <v>944</v>
      </c>
      <c r="B174" s="233"/>
      <c r="C174" s="242"/>
      <c r="D174" s="239"/>
      <c r="E174" s="233"/>
      <c r="F174" s="144"/>
      <c r="G174" s="245"/>
      <c r="H174" s="245"/>
      <c r="I174" s="49"/>
      <c r="J174" s="49"/>
      <c r="K174" s="49"/>
      <c r="L174" s="49"/>
      <c r="M174" s="45"/>
    </row>
    <row r="175" spans="1:13" ht="99.75" customHeight="1" x14ac:dyDescent="0.2">
      <c r="A175" s="183" t="s">
        <v>946</v>
      </c>
      <c r="B175" s="114"/>
      <c r="C175" s="184"/>
      <c r="D175" s="188"/>
      <c r="E175" s="156"/>
      <c r="F175" s="144"/>
      <c r="G175" s="160"/>
      <c r="H175" s="160"/>
      <c r="I175" s="49"/>
      <c r="J175" s="49"/>
      <c r="K175" s="49"/>
      <c r="L175" s="49"/>
      <c r="M175" s="45"/>
    </row>
    <row r="176" spans="1:13" ht="136.5" customHeight="1" x14ac:dyDescent="0.2">
      <c r="A176" s="183"/>
      <c r="B176" s="156"/>
      <c r="C176" s="186" t="s">
        <v>947</v>
      </c>
      <c r="D176" s="174" t="s">
        <v>967</v>
      </c>
      <c r="E176" s="156"/>
      <c r="F176" s="144"/>
      <c r="G176" s="160">
        <v>0</v>
      </c>
      <c r="H176" s="160">
        <f>H177</f>
        <v>63</v>
      </c>
      <c r="I176" s="49"/>
      <c r="J176" s="49"/>
      <c r="K176" s="49"/>
      <c r="L176" s="49"/>
      <c r="M176" s="45"/>
    </row>
    <row r="177" spans="1:13" ht="168" customHeight="1" x14ac:dyDescent="0.2">
      <c r="A177" s="174" t="s">
        <v>948</v>
      </c>
      <c r="B177" s="231" t="s">
        <v>397</v>
      </c>
      <c r="C177" s="240" t="s">
        <v>950</v>
      </c>
      <c r="D177" s="237" t="s">
        <v>967</v>
      </c>
      <c r="E177" s="231" t="s">
        <v>924</v>
      </c>
      <c r="F177" s="144"/>
      <c r="G177" s="243">
        <v>0</v>
      </c>
      <c r="H177" s="243">
        <v>63</v>
      </c>
      <c r="I177" s="49"/>
      <c r="J177" s="49"/>
      <c r="K177" s="49"/>
      <c r="L177" s="49"/>
      <c r="M177" s="45"/>
    </row>
    <row r="178" spans="1:13" ht="147" customHeight="1" x14ac:dyDescent="0.2">
      <c r="A178" s="174" t="s">
        <v>949</v>
      </c>
      <c r="B178" s="233"/>
      <c r="C178" s="242"/>
      <c r="D178" s="239"/>
      <c r="E178" s="233"/>
      <c r="F178" s="144"/>
      <c r="G178" s="245"/>
      <c r="H178" s="245"/>
      <c r="I178" s="49"/>
      <c r="J178" s="49"/>
      <c r="K178" s="49"/>
      <c r="L178" s="49"/>
      <c r="M178" s="45"/>
    </row>
    <row r="179" spans="1:13" ht="97.5" customHeight="1" x14ac:dyDescent="0.2">
      <c r="A179" s="183" t="s">
        <v>951</v>
      </c>
      <c r="B179" s="114"/>
      <c r="C179" s="184"/>
      <c r="D179" s="188"/>
      <c r="E179" s="156"/>
      <c r="F179" s="144"/>
      <c r="G179" s="160"/>
      <c r="H179" s="160"/>
      <c r="I179" s="49"/>
      <c r="J179" s="49"/>
      <c r="K179" s="49"/>
      <c r="L179" s="49"/>
      <c r="M179" s="45"/>
    </row>
    <row r="180" spans="1:13" ht="150" customHeight="1" x14ac:dyDescent="0.2">
      <c r="A180" s="183"/>
      <c r="B180" s="156"/>
      <c r="C180" s="186" t="s">
        <v>955</v>
      </c>
      <c r="D180" s="174" t="s">
        <v>966</v>
      </c>
      <c r="E180" s="156"/>
      <c r="F180" s="144"/>
      <c r="G180" s="160">
        <v>0</v>
      </c>
      <c r="H180" s="160">
        <f>H181</f>
        <v>7.9</v>
      </c>
      <c r="I180" s="49"/>
      <c r="J180" s="49"/>
      <c r="K180" s="49"/>
      <c r="L180" s="49"/>
      <c r="M180" s="45"/>
    </row>
    <row r="181" spans="1:13" ht="188.25" customHeight="1" x14ac:dyDescent="0.2">
      <c r="A181" s="174" t="s">
        <v>952</v>
      </c>
      <c r="B181" s="231" t="s">
        <v>397</v>
      </c>
      <c r="C181" s="240" t="s">
        <v>956</v>
      </c>
      <c r="D181" s="246" t="s">
        <v>966</v>
      </c>
      <c r="E181" s="231" t="s">
        <v>924</v>
      </c>
      <c r="F181" s="144"/>
      <c r="G181" s="243">
        <v>0</v>
      </c>
      <c r="H181" s="243">
        <v>7.9</v>
      </c>
      <c r="I181" s="49"/>
      <c r="J181" s="49"/>
      <c r="K181" s="49"/>
      <c r="L181" s="49"/>
      <c r="M181" s="45"/>
    </row>
    <row r="182" spans="1:13" ht="184.5" customHeight="1" x14ac:dyDescent="0.2">
      <c r="A182" s="174" t="s">
        <v>953</v>
      </c>
      <c r="B182" s="232"/>
      <c r="C182" s="241"/>
      <c r="D182" s="247"/>
      <c r="E182" s="232"/>
      <c r="F182" s="144"/>
      <c r="G182" s="244"/>
      <c r="H182" s="244"/>
      <c r="I182" s="49"/>
      <c r="J182" s="49"/>
      <c r="K182" s="49"/>
      <c r="L182" s="49"/>
      <c r="M182" s="45"/>
    </row>
    <row r="183" spans="1:13" ht="159.75" customHeight="1" x14ac:dyDescent="0.2">
      <c r="A183" s="174" t="s">
        <v>954</v>
      </c>
      <c r="B183" s="233"/>
      <c r="C183" s="242"/>
      <c r="D183" s="248"/>
      <c r="E183" s="233"/>
      <c r="F183" s="144"/>
      <c r="G183" s="245"/>
      <c r="H183" s="245"/>
      <c r="I183" s="49"/>
      <c r="J183" s="49"/>
      <c r="K183" s="49"/>
      <c r="L183" s="49"/>
      <c r="M183" s="45"/>
    </row>
    <row r="184" spans="1:13" ht="85.5" customHeight="1" x14ac:dyDescent="0.2">
      <c r="A184" s="183" t="s">
        <v>957</v>
      </c>
      <c r="B184" s="114"/>
      <c r="C184" s="184"/>
      <c r="D184" s="185"/>
      <c r="E184" s="156"/>
      <c r="F184" s="144"/>
      <c r="G184" s="160"/>
      <c r="H184" s="160"/>
      <c r="I184" s="49"/>
      <c r="J184" s="49"/>
      <c r="K184" s="49"/>
      <c r="L184" s="49"/>
      <c r="M184" s="45"/>
    </row>
    <row r="185" spans="1:13" ht="132" customHeight="1" x14ac:dyDescent="0.2">
      <c r="A185" s="183"/>
      <c r="B185" s="156"/>
      <c r="C185" s="186" t="s">
        <v>958</v>
      </c>
      <c r="D185" s="174" t="s">
        <v>965</v>
      </c>
      <c r="E185" s="156"/>
      <c r="F185" s="144"/>
      <c r="G185" s="160">
        <v>0</v>
      </c>
      <c r="H185" s="160">
        <f>H186</f>
        <v>1.3</v>
      </c>
      <c r="I185" s="49"/>
      <c r="J185" s="49"/>
      <c r="K185" s="49"/>
      <c r="L185" s="49"/>
      <c r="M185" s="45"/>
    </row>
    <row r="186" spans="1:13" ht="171.75" customHeight="1" x14ac:dyDescent="0.2">
      <c r="A186" s="174" t="s">
        <v>959</v>
      </c>
      <c r="B186" s="231" t="s">
        <v>397</v>
      </c>
      <c r="C186" s="240" t="s">
        <v>961</v>
      </c>
      <c r="D186" s="246" t="s">
        <v>965</v>
      </c>
      <c r="E186" s="231" t="s">
        <v>924</v>
      </c>
      <c r="F186" s="144"/>
      <c r="G186" s="243">
        <v>0</v>
      </c>
      <c r="H186" s="243">
        <v>1.3</v>
      </c>
      <c r="I186" s="49"/>
      <c r="J186" s="49"/>
      <c r="K186" s="49"/>
      <c r="L186" s="49"/>
      <c r="M186" s="45"/>
    </row>
    <row r="187" spans="1:13" ht="117" customHeight="1" x14ac:dyDescent="0.2">
      <c r="A187" s="174" t="s">
        <v>960</v>
      </c>
      <c r="B187" s="233"/>
      <c r="C187" s="242"/>
      <c r="D187" s="248"/>
      <c r="E187" s="233"/>
      <c r="F187" s="144"/>
      <c r="G187" s="245"/>
      <c r="H187" s="245"/>
      <c r="I187" s="49"/>
      <c r="J187" s="49"/>
      <c r="K187" s="49"/>
      <c r="L187" s="49"/>
      <c r="M187" s="45"/>
    </row>
    <row r="188" spans="1:13" ht="78.75" customHeight="1" x14ac:dyDescent="0.2">
      <c r="A188" s="183" t="s">
        <v>962</v>
      </c>
      <c r="B188" s="114"/>
      <c r="C188" s="184"/>
      <c r="D188" s="185"/>
      <c r="E188" s="156"/>
      <c r="F188" s="144"/>
      <c r="G188" s="160"/>
      <c r="H188" s="160"/>
      <c r="I188" s="49"/>
      <c r="J188" s="49"/>
      <c r="K188" s="49"/>
      <c r="L188" s="49"/>
      <c r="M188" s="45"/>
    </row>
    <row r="189" spans="1:13" ht="103.5" customHeight="1" x14ac:dyDescent="0.2">
      <c r="A189" s="183"/>
      <c r="B189" s="156"/>
      <c r="C189" s="186" t="s">
        <v>963</v>
      </c>
      <c r="D189" s="174" t="s">
        <v>964</v>
      </c>
      <c r="E189" s="156"/>
      <c r="F189" s="144"/>
      <c r="G189" s="160">
        <v>0</v>
      </c>
      <c r="H189" s="160">
        <v>196.4</v>
      </c>
      <c r="I189" s="49"/>
      <c r="J189" s="49"/>
      <c r="K189" s="49"/>
      <c r="L189" s="49"/>
      <c r="M189" s="45"/>
    </row>
    <row r="190" spans="1:13" ht="230.25" customHeight="1" x14ac:dyDescent="0.2">
      <c r="A190" s="174" t="s">
        <v>968</v>
      </c>
      <c r="B190" s="231" t="s">
        <v>397</v>
      </c>
      <c r="C190" s="240" t="s">
        <v>971</v>
      </c>
      <c r="D190" s="237" t="s">
        <v>964</v>
      </c>
      <c r="E190" s="231" t="s">
        <v>924</v>
      </c>
      <c r="F190" s="144"/>
      <c r="G190" s="243">
        <v>0</v>
      </c>
      <c r="H190" s="243">
        <v>196.4</v>
      </c>
      <c r="I190" s="49"/>
      <c r="J190" s="49"/>
      <c r="K190" s="49"/>
      <c r="L190" s="49"/>
      <c r="M190" s="45"/>
    </row>
    <row r="191" spans="1:13" ht="114.75" customHeight="1" x14ac:dyDescent="0.2">
      <c r="A191" s="174" t="s">
        <v>969</v>
      </c>
      <c r="B191" s="232"/>
      <c r="C191" s="241"/>
      <c r="D191" s="238"/>
      <c r="E191" s="232"/>
      <c r="F191" s="144"/>
      <c r="G191" s="244"/>
      <c r="H191" s="244"/>
      <c r="I191" s="49"/>
      <c r="J191" s="49"/>
      <c r="K191" s="49"/>
      <c r="L191" s="49"/>
      <c r="M191" s="45"/>
    </row>
    <row r="192" spans="1:13" ht="117.75" customHeight="1" x14ac:dyDescent="0.2">
      <c r="A192" s="174" t="s">
        <v>970</v>
      </c>
      <c r="B192" s="233"/>
      <c r="C192" s="242"/>
      <c r="D192" s="239"/>
      <c r="E192" s="233"/>
      <c r="F192" s="144"/>
      <c r="G192" s="245"/>
      <c r="H192" s="245"/>
      <c r="I192" s="49"/>
      <c r="J192" s="49"/>
      <c r="K192" s="49"/>
      <c r="L192" s="49"/>
      <c r="M192" s="45"/>
    </row>
    <row r="193" spans="1:13" ht="103.5" customHeight="1" x14ac:dyDescent="0.2">
      <c r="A193" s="183" t="s">
        <v>972</v>
      </c>
      <c r="B193" s="114"/>
      <c r="C193" s="184"/>
      <c r="D193" s="188"/>
      <c r="E193" s="156"/>
      <c r="F193" s="144"/>
      <c r="G193" s="160"/>
      <c r="H193" s="160"/>
      <c r="I193" s="49"/>
      <c r="J193" s="49"/>
      <c r="K193" s="49"/>
      <c r="L193" s="49"/>
      <c r="M193" s="45"/>
    </row>
    <row r="194" spans="1:13" ht="122.25" customHeight="1" x14ac:dyDescent="0.2">
      <c r="A194" s="183"/>
      <c r="B194" s="156"/>
      <c r="C194" s="186" t="s">
        <v>978</v>
      </c>
      <c r="D194" s="174" t="s">
        <v>973</v>
      </c>
      <c r="E194" s="156"/>
      <c r="F194" s="144"/>
      <c r="G194" s="160">
        <v>0</v>
      </c>
      <c r="H194" s="160">
        <f>H195+H197+H198+H199</f>
        <v>215.09999999999997</v>
      </c>
      <c r="I194" s="49"/>
      <c r="J194" s="49"/>
      <c r="K194" s="49"/>
      <c r="L194" s="49"/>
      <c r="M194" s="45"/>
    </row>
    <row r="195" spans="1:13" ht="153" customHeight="1" x14ac:dyDescent="0.2">
      <c r="A195" s="174" t="s">
        <v>974</v>
      </c>
      <c r="B195" s="231" t="s">
        <v>397</v>
      </c>
      <c r="C195" s="240" t="s">
        <v>980</v>
      </c>
      <c r="D195" s="237" t="s">
        <v>973</v>
      </c>
      <c r="E195" s="156"/>
      <c r="F195" s="144"/>
      <c r="G195" s="243">
        <v>0</v>
      </c>
      <c r="H195" s="243">
        <v>57.8</v>
      </c>
      <c r="I195" s="49"/>
      <c r="J195" s="49"/>
      <c r="K195" s="49"/>
      <c r="L195" s="49"/>
      <c r="M195" s="45"/>
    </row>
    <row r="196" spans="1:13" ht="303" customHeight="1" x14ac:dyDescent="0.2">
      <c r="A196" s="174" t="s">
        <v>975</v>
      </c>
      <c r="B196" s="233"/>
      <c r="C196" s="242"/>
      <c r="D196" s="238"/>
      <c r="E196" s="226" t="s">
        <v>924</v>
      </c>
      <c r="F196" s="144"/>
      <c r="G196" s="245"/>
      <c r="H196" s="245"/>
      <c r="I196" s="49"/>
      <c r="J196" s="49"/>
      <c r="K196" s="49"/>
      <c r="L196" s="49"/>
      <c r="M196" s="45"/>
    </row>
    <row r="197" spans="1:13" ht="120.75" customHeight="1" x14ac:dyDescent="0.2">
      <c r="A197" s="174" t="s">
        <v>976</v>
      </c>
      <c r="B197" s="114" t="s">
        <v>397</v>
      </c>
      <c r="C197" s="189" t="s">
        <v>979</v>
      </c>
      <c r="D197" s="238"/>
      <c r="E197" s="182" t="s">
        <v>923</v>
      </c>
      <c r="F197" s="144"/>
      <c r="G197" s="160">
        <v>0</v>
      </c>
      <c r="H197" s="160">
        <v>3.5</v>
      </c>
      <c r="I197" s="49"/>
      <c r="J197" s="49"/>
      <c r="K197" s="49"/>
      <c r="L197" s="49"/>
      <c r="M197" s="45"/>
    </row>
    <row r="198" spans="1:13" ht="122.25" customHeight="1" x14ac:dyDescent="0.2">
      <c r="A198" s="174" t="s">
        <v>976</v>
      </c>
      <c r="B198" s="156" t="s">
        <v>397</v>
      </c>
      <c r="C198" s="189" t="s">
        <v>980</v>
      </c>
      <c r="D198" s="238"/>
      <c r="E198" s="226" t="s">
        <v>924</v>
      </c>
      <c r="F198" s="144"/>
      <c r="G198" s="160">
        <v>0</v>
      </c>
      <c r="H198" s="160">
        <v>153.6</v>
      </c>
      <c r="I198" s="49"/>
      <c r="J198" s="49"/>
      <c r="K198" s="49"/>
      <c r="L198" s="49"/>
      <c r="M198" s="45"/>
    </row>
    <row r="199" spans="1:13" ht="145.5" customHeight="1" x14ac:dyDescent="0.2">
      <c r="A199" s="174" t="s">
        <v>977</v>
      </c>
      <c r="B199" s="156" t="s">
        <v>397</v>
      </c>
      <c r="C199" s="189" t="s">
        <v>979</v>
      </c>
      <c r="D199" s="239"/>
      <c r="E199" s="182" t="s">
        <v>923</v>
      </c>
      <c r="F199" s="144"/>
      <c r="G199" s="160">
        <v>0</v>
      </c>
      <c r="H199" s="160">
        <v>0.2</v>
      </c>
      <c r="I199" s="49"/>
      <c r="J199" s="49"/>
      <c r="K199" s="49"/>
      <c r="L199" s="49"/>
      <c r="M199" s="45"/>
    </row>
    <row r="200" spans="1:13" ht="44.25" customHeight="1" x14ac:dyDescent="0.2">
      <c r="A200" s="91" t="s">
        <v>218</v>
      </c>
      <c r="B200" s="134"/>
      <c r="C200" s="147"/>
      <c r="D200" s="147"/>
      <c r="E200" s="127"/>
      <c r="F200" s="128"/>
      <c r="G200" s="121"/>
      <c r="H200" s="121"/>
      <c r="I200" s="64"/>
      <c r="J200" s="50"/>
      <c r="K200" s="50"/>
      <c r="L200" s="50"/>
      <c r="M200" s="51"/>
    </row>
    <row r="201" spans="1:13" ht="111" customHeight="1" x14ac:dyDescent="0.2">
      <c r="A201" s="134"/>
      <c r="B201" s="134"/>
      <c r="C201" s="138" t="s">
        <v>895</v>
      </c>
      <c r="D201" s="113" t="s">
        <v>480</v>
      </c>
      <c r="E201" s="127"/>
      <c r="F201" s="128"/>
      <c r="G201" s="112">
        <f t="shared" ref="G201:I201" si="46">G202</f>
        <v>145.19999999999999</v>
      </c>
      <c r="H201" s="112">
        <f t="shared" si="46"/>
        <v>0</v>
      </c>
      <c r="I201" s="49">
        <f t="shared" si="46"/>
        <v>0</v>
      </c>
      <c r="J201" s="49">
        <f>J202</f>
        <v>71</v>
      </c>
      <c r="K201" s="49">
        <f t="shared" ref="K201:L201" si="47">K202</f>
        <v>69</v>
      </c>
      <c r="L201" s="49">
        <f t="shared" si="47"/>
        <v>75.5</v>
      </c>
      <c r="M201" s="51"/>
    </row>
    <row r="202" spans="1:13" ht="108" customHeight="1" x14ac:dyDescent="0.2">
      <c r="A202" s="113" t="s">
        <v>480</v>
      </c>
      <c r="B202" s="138" t="s">
        <v>397</v>
      </c>
      <c r="C202" s="138" t="s">
        <v>897</v>
      </c>
      <c r="D202" s="113" t="s">
        <v>480</v>
      </c>
      <c r="E202" s="190" t="s">
        <v>896</v>
      </c>
      <c r="F202" s="128"/>
      <c r="G202" s="112">
        <v>145.19999999999999</v>
      </c>
      <c r="H202" s="112">
        <v>0</v>
      </c>
      <c r="I202" s="49">
        <v>0</v>
      </c>
      <c r="J202" s="49">
        <v>71</v>
      </c>
      <c r="K202" s="49">
        <v>69</v>
      </c>
      <c r="L202" s="49">
        <v>75.5</v>
      </c>
      <c r="M202" s="51"/>
    </row>
    <row r="203" spans="1:13" ht="83.25" customHeight="1" x14ac:dyDescent="0.2">
      <c r="A203" s="183" t="s">
        <v>223</v>
      </c>
      <c r="B203" s="91"/>
      <c r="C203" s="127"/>
      <c r="D203" s="127"/>
      <c r="E203" s="127"/>
      <c r="F203" s="128"/>
      <c r="G203" s="121"/>
      <c r="H203" s="121"/>
      <c r="I203" s="64"/>
      <c r="J203" s="49"/>
      <c r="K203" s="49"/>
      <c r="L203" s="49"/>
      <c r="M203" s="51"/>
    </row>
    <row r="204" spans="1:13" ht="92.25" customHeight="1" x14ac:dyDescent="0.2">
      <c r="A204" s="134"/>
      <c r="B204" s="134"/>
      <c r="C204" s="138" t="s">
        <v>542</v>
      </c>
      <c r="D204" s="116" t="s">
        <v>223</v>
      </c>
      <c r="E204" s="127"/>
      <c r="F204" s="128"/>
      <c r="G204" s="112">
        <f>G205</f>
        <v>31.8</v>
      </c>
      <c r="H204" s="112">
        <f t="shared" ref="H204:I204" si="48">H205</f>
        <v>0</v>
      </c>
      <c r="I204" s="49">
        <f t="shared" si="48"/>
        <v>0</v>
      </c>
      <c r="J204" s="49">
        <f>J205</f>
        <v>17.5</v>
      </c>
      <c r="K204" s="49">
        <f t="shared" ref="K204:L204" si="49">K205</f>
        <v>18.5</v>
      </c>
      <c r="L204" s="49">
        <f t="shared" si="49"/>
        <v>15.5</v>
      </c>
      <c r="M204" s="51"/>
    </row>
    <row r="205" spans="1:13" ht="92.25" customHeight="1" x14ac:dyDescent="0.2">
      <c r="A205" s="116" t="s">
        <v>223</v>
      </c>
      <c r="B205" s="138" t="s">
        <v>397</v>
      </c>
      <c r="C205" s="138" t="s">
        <v>899</v>
      </c>
      <c r="D205" s="116" t="s">
        <v>223</v>
      </c>
      <c r="E205" s="190" t="s">
        <v>896</v>
      </c>
      <c r="F205" s="128"/>
      <c r="G205" s="112">
        <v>31.8</v>
      </c>
      <c r="H205" s="112">
        <v>0</v>
      </c>
      <c r="I205" s="49">
        <v>0</v>
      </c>
      <c r="J205" s="49">
        <v>17.5</v>
      </c>
      <c r="K205" s="49">
        <v>18.5</v>
      </c>
      <c r="L205" s="49">
        <v>15.5</v>
      </c>
      <c r="M205" s="51"/>
    </row>
    <row r="206" spans="1:13" ht="90.75" customHeight="1" x14ac:dyDescent="0.2">
      <c r="A206" s="91" t="s">
        <v>228</v>
      </c>
      <c r="B206" s="91"/>
      <c r="C206" s="127"/>
      <c r="D206" s="127"/>
      <c r="E206" s="127"/>
      <c r="F206" s="57"/>
      <c r="G206" s="121"/>
      <c r="H206" s="121"/>
      <c r="I206" s="64"/>
      <c r="J206" s="49"/>
      <c r="K206" s="49"/>
      <c r="L206" s="49"/>
      <c r="M206" s="51"/>
    </row>
    <row r="207" spans="1:13" ht="114.75" customHeight="1" x14ac:dyDescent="0.2">
      <c r="A207" s="134"/>
      <c r="B207" s="134"/>
      <c r="C207" s="138" t="s">
        <v>543</v>
      </c>
      <c r="D207" s="116" t="s">
        <v>228</v>
      </c>
      <c r="E207" s="127"/>
      <c r="F207" s="57"/>
      <c r="G207" s="112">
        <f>G208</f>
        <v>4.5</v>
      </c>
      <c r="H207" s="112">
        <f t="shared" ref="H207:I207" si="50">H208</f>
        <v>0</v>
      </c>
      <c r="I207" s="49">
        <f t="shared" si="50"/>
        <v>0</v>
      </c>
      <c r="J207" s="49">
        <f>J208</f>
        <v>24</v>
      </c>
      <c r="K207" s="49">
        <f t="shared" ref="K207:L207" si="51">K208</f>
        <v>26.5</v>
      </c>
      <c r="L207" s="49">
        <f t="shared" si="51"/>
        <v>23.5</v>
      </c>
      <c r="M207" s="51"/>
    </row>
    <row r="208" spans="1:13" ht="92.25" customHeight="1" x14ac:dyDescent="0.2">
      <c r="A208" s="116" t="s">
        <v>228</v>
      </c>
      <c r="B208" s="138" t="s">
        <v>396</v>
      </c>
      <c r="C208" s="138" t="s">
        <v>901</v>
      </c>
      <c r="D208" s="116" t="s">
        <v>228</v>
      </c>
      <c r="E208" s="190" t="s">
        <v>896</v>
      </c>
      <c r="F208" s="57"/>
      <c r="G208" s="112">
        <v>4.5</v>
      </c>
      <c r="H208" s="112">
        <v>0</v>
      </c>
      <c r="I208" s="49">
        <v>0</v>
      </c>
      <c r="J208" s="49">
        <v>24</v>
      </c>
      <c r="K208" s="49">
        <v>26.5</v>
      </c>
      <c r="L208" s="49">
        <v>23.5</v>
      </c>
      <c r="M208" s="51"/>
    </row>
    <row r="209" spans="1:17" ht="140.25" customHeight="1" x14ac:dyDescent="0.2">
      <c r="A209" s="191" t="s">
        <v>981</v>
      </c>
      <c r="B209" s="138"/>
      <c r="C209" s="138"/>
      <c r="D209" s="91"/>
      <c r="E209" s="190"/>
      <c r="F209" s="57"/>
      <c r="G209" s="112"/>
      <c r="H209" s="112"/>
      <c r="I209" s="49"/>
      <c r="J209" s="49"/>
      <c r="K209" s="49"/>
      <c r="L209" s="49"/>
      <c r="M209" s="51"/>
    </row>
    <row r="210" spans="1:17" ht="117.75" customHeight="1" x14ac:dyDescent="0.2">
      <c r="A210" s="191"/>
      <c r="B210" s="138"/>
      <c r="C210" s="186" t="s">
        <v>983</v>
      </c>
      <c r="D210" s="192" t="s">
        <v>982</v>
      </c>
      <c r="E210" s="190"/>
      <c r="F210" s="57"/>
      <c r="G210" s="112">
        <v>0</v>
      </c>
      <c r="H210" s="112">
        <f>H211</f>
        <v>18.5</v>
      </c>
      <c r="I210" s="49"/>
      <c r="J210" s="49"/>
      <c r="K210" s="49"/>
      <c r="L210" s="49"/>
      <c r="M210" s="51"/>
    </row>
    <row r="211" spans="1:17" ht="110.25" customHeight="1" x14ac:dyDescent="0.2">
      <c r="A211" s="192" t="s">
        <v>984</v>
      </c>
      <c r="B211" s="138" t="s">
        <v>396</v>
      </c>
      <c r="C211" s="186" t="s">
        <v>985</v>
      </c>
      <c r="D211" s="192" t="s">
        <v>982</v>
      </c>
      <c r="E211" s="138" t="s">
        <v>623</v>
      </c>
      <c r="F211" s="57"/>
      <c r="G211" s="112">
        <v>0</v>
      </c>
      <c r="H211" s="112">
        <v>18.5</v>
      </c>
      <c r="I211" s="49"/>
      <c r="J211" s="49"/>
      <c r="K211" s="49"/>
      <c r="L211" s="49"/>
      <c r="M211" s="51"/>
    </row>
    <row r="212" spans="1:17" ht="78.75" customHeight="1" x14ac:dyDescent="0.2">
      <c r="A212" s="91" t="s">
        <v>233</v>
      </c>
      <c r="B212" s="91"/>
      <c r="C212" s="127"/>
      <c r="D212" s="127"/>
      <c r="E212" s="127"/>
      <c r="F212" s="57"/>
      <c r="G212" s="121"/>
      <c r="H212" s="121"/>
      <c r="I212" s="64"/>
      <c r="J212" s="50"/>
      <c r="K212" s="50"/>
      <c r="L212" s="50"/>
      <c r="M212" s="51"/>
    </row>
    <row r="213" spans="1:17" ht="84" x14ac:dyDescent="0.2">
      <c r="A213" s="119"/>
      <c r="B213" s="119"/>
      <c r="C213" s="114" t="s">
        <v>544</v>
      </c>
      <c r="D213" s="116" t="s">
        <v>233</v>
      </c>
      <c r="E213" s="127"/>
      <c r="F213" s="75">
        <f>378500.56/1000</f>
        <v>378.50056000000001</v>
      </c>
      <c r="G213" s="112">
        <f>G214</f>
        <v>88</v>
      </c>
      <c r="H213" s="112">
        <v>0</v>
      </c>
      <c r="I213" s="49">
        <f t="shared" ref="I213:L213" si="52">I214</f>
        <v>240</v>
      </c>
      <c r="J213" s="49">
        <f t="shared" si="52"/>
        <v>0</v>
      </c>
      <c r="K213" s="49">
        <f t="shared" si="52"/>
        <v>0</v>
      </c>
      <c r="L213" s="49">
        <f t="shared" si="52"/>
        <v>0</v>
      </c>
      <c r="M213" s="45"/>
      <c r="N213" s="34" t="e">
        <f>I213+I215+I236+#REF!+I240+I243+I246+I248+I251+I254+I259+#REF!+I261+#REF!+I267+I273+I207+I204+I201</f>
        <v>#REF!</v>
      </c>
      <c r="O213" s="34" t="e">
        <f>J213+J215+J236+#REF!+J240+J243+J246+J248+J251+J254+J259+#REF!+J261+#REF!+J267+J273+J207+J204+J201</f>
        <v>#REF!</v>
      </c>
      <c r="P213" s="34" t="e">
        <f>K213+K215+K236+#REF!+K240+K243+K246+K248+K251+K254+K259+#REF!+K261+#REF!+K267+K273+K207+K204+K201</f>
        <v>#REF!</v>
      </c>
      <c r="Q213" s="34" t="e">
        <f>L213+L215+L236+#REF!+L240+L243+L246+L248+L251+L254+L259+#REF!+L261+#REF!+L267+L273+L207+L204+L201</f>
        <v>#REF!</v>
      </c>
    </row>
    <row r="214" spans="1:17" ht="120" x14ac:dyDescent="0.2">
      <c r="A214" s="113" t="s">
        <v>237</v>
      </c>
      <c r="B214" s="117">
        <v>100</v>
      </c>
      <c r="C214" s="114" t="s">
        <v>545</v>
      </c>
      <c r="D214" s="116" t="s">
        <v>233</v>
      </c>
      <c r="E214" s="114" t="s">
        <v>406</v>
      </c>
      <c r="F214" s="144">
        <f>378500.56/1000</f>
        <v>378.50056000000001</v>
      </c>
      <c r="G214" s="112">
        <v>88</v>
      </c>
      <c r="H214" s="112">
        <v>0</v>
      </c>
      <c r="I214" s="49">
        <v>240</v>
      </c>
      <c r="J214" s="49">
        <v>0</v>
      </c>
      <c r="K214" s="49">
        <v>0</v>
      </c>
      <c r="L214" s="49">
        <v>0</v>
      </c>
      <c r="M214" s="45"/>
    </row>
    <row r="215" spans="1:17" ht="60" x14ac:dyDescent="0.2">
      <c r="A215" s="91"/>
      <c r="B215" s="91"/>
      <c r="C215" s="114" t="s">
        <v>636</v>
      </c>
      <c r="D215" s="116" t="s">
        <v>239</v>
      </c>
      <c r="E215" s="127"/>
      <c r="F215" s="144">
        <f>2245.71/1000</f>
        <v>2.2457099999999999</v>
      </c>
      <c r="G215" s="112">
        <f>G216</f>
        <v>19</v>
      </c>
      <c r="H215" s="112">
        <v>0</v>
      </c>
      <c r="I215" s="49">
        <f t="shared" ref="I215:L215" si="53">I216</f>
        <v>30</v>
      </c>
      <c r="J215" s="49">
        <f t="shared" si="53"/>
        <v>0</v>
      </c>
      <c r="K215" s="49">
        <f t="shared" si="53"/>
        <v>0</v>
      </c>
      <c r="L215" s="49">
        <f t="shared" si="53"/>
        <v>0</v>
      </c>
      <c r="M215" s="45"/>
    </row>
    <row r="216" spans="1:17" ht="108" x14ac:dyDescent="0.2">
      <c r="A216" s="113" t="s">
        <v>481</v>
      </c>
      <c r="B216" s="117">
        <v>100</v>
      </c>
      <c r="C216" s="114" t="s">
        <v>635</v>
      </c>
      <c r="D216" s="116" t="s">
        <v>239</v>
      </c>
      <c r="E216" s="114" t="s">
        <v>411</v>
      </c>
      <c r="F216" s="144">
        <f>2245.71/1000</f>
        <v>2.2457099999999999</v>
      </c>
      <c r="G216" s="112">
        <v>19</v>
      </c>
      <c r="H216" s="112">
        <v>0</v>
      </c>
      <c r="I216" s="49">
        <v>30</v>
      </c>
      <c r="J216" s="49">
        <v>0</v>
      </c>
      <c r="K216" s="49">
        <v>0</v>
      </c>
      <c r="L216" s="49">
        <v>0</v>
      </c>
      <c r="M216" s="45"/>
    </row>
    <row r="217" spans="1:17" ht="28.5" customHeight="1" x14ac:dyDescent="0.2">
      <c r="A217" s="183" t="s">
        <v>986</v>
      </c>
      <c r="B217" s="117"/>
      <c r="C217" s="114"/>
      <c r="D217" s="91"/>
      <c r="E217" s="114"/>
      <c r="F217" s="144"/>
      <c r="G217" s="112"/>
      <c r="H217" s="112"/>
      <c r="I217" s="49"/>
      <c r="J217" s="49"/>
      <c r="K217" s="49"/>
      <c r="L217" s="49"/>
      <c r="M217" s="45"/>
    </row>
    <row r="218" spans="1:17" ht="99.75" customHeight="1" x14ac:dyDescent="0.2">
      <c r="A218" s="183"/>
      <c r="B218" s="153"/>
      <c r="C218" s="186" t="s">
        <v>988</v>
      </c>
      <c r="D218" s="192" t="s">
        <v>987</v>
      </c>
      <c r="E218" s="114"/>
      <c r="F218" s="144"/>
      <c r="G218" s="112">
        <v>0</v>
      </c>
      <c r="H218" s="112">
        <f>H219+H220+H221+H222+H223+H224+H225+H228</f>
        <v>1748.5</v>
      </c>
      <c r="I218" s="49"/>
      <c r="J218" s="49"/>
      <c r="K218" s="49"/>
      <c r="L218" s="49"/>
      <c r="M218" s="45"/>
    </row>
    <row r="219" spans="1:17" ht="178.5" customHeight="1" x14ac:dyDescent="0.2">
      <c r="A219" s="174" t="s">
        <v>989</v>
      </c>
      <c r="B219" s="202">
        <v>100</v>
      </c>
      <c r="C219" s="186" t="s">
        <v>994</v>
      </c>
      <c r="D219" s="246" t="s">
        <v>987</v>
      </c>
      <c r="E219" s="190" t="s">
        <v>412</v>
      </c>
      <c r="F219" s="144"/>
      <c r="G219" s="112">
        <v>0</v>
      </c>
      <c r="H219" s="112">
        <v>92</v>
      </c>
      <c r="I219" s="49"/>
      <c r="J219" s="49"/>
      <c r="K219" s="49"/>
      <c r="L219" s="49"/>
      <c r="M219" s="45"/>
    </row>
    <row r="220" spans="1:17" ht="181.5" customHeight="1" x14ac:dyDescent="0.2">
      <c r="A220" s="174" t="s">
        <v>989</v>
      </c>
      <c r="B220" s="202">
        <v>100</v>
      </c>
      <c r="C220" s="186" t="s">
        <v>995</v>
      </c>
      <c r="D220" s="247"/>
      <c r="E220" s="190" t="s">
        <v>1224</v>
      </c>
      <c r="F220" s="144"/>
      <c r="G220" s="112">
        <v>0</v>
      </c>
      <c r="H220" s="112">
        <v>120</v>
      </c>
      <c r="I220" s="49"/>
      <c r="J220" s="49"/>
      <c r="K220" s="49"/>
      <c r="L220" s="49"/>
      <c r="M220" s="45"/>
    </row>
    <row r="221" spans="1:17" ht="171.75" customHeight="1" x14ac:dyDescent="0.2">
      <c r="A221" s="174" t="s">
        <v>989</v>
      </c>
      <c r="B221" s="202">
        <v>100</v>
      </c>
      <c r="C221" s="186" t="s">
        <v>996</v>
      </c>
      <c r="D221" s="247"/>
      <c r="E221" s="190" t="s">
        <v>409</v>
      </c>
      <c r="F221" s="144"/>
      <c r="G221" s="112">
        <v>0</v>
      </c>
      <c r="H221" s="112">
        <v>4</v>
      </c>
      <c r="I221" s="49"/>
      <c r="J221" s="49"/>
      <c r="K221" s="49"/>
      <c r="L221" s="49"/>
      <c r="M221" s="45"/>
    </row>
    <row r="222" spans="1:17" ht="178.5" customHeight="1" x14ac:dyDescent="0.2">
      <c r="A222" s="174" t="s">
        <v>989</v>
      </c>
      <c r="B222" s="202">
        <v>100</v>
      </c>
      <c r="C222" s="186" t="s">
        <v>997</v>
      </c>
      <c r="D222" s="247"/>
      <c r="E222" s="190" t="s">
        <v>999</v>
      </c>
      <c r="F222" s="144"/>
      <c r="G222" s="112">
        <v>0</v>
      </c>
      <c r="H222" s="112">
        <v>457.3</v>
      </c>
      <c r="I222" s="49"/>
      <c r="J222" s="49"/>
      <c r="K222" s="49"/>
      <c r="L222" s="49"/>
      <c r="M222" s="45"/>
    </row>
    <row r="223" spans="1:17" ht="176.25" customHeight="1" x14ac:dyDescent="0.2">
      <c r="A223" s="174" t="s">
        <v>989</v>
      </c>
      <c r="B223" s="202">
        <v>100</v>
      </c>
      <c r="C223" s="186" t="s">
        <v>998</v>
      </c>
      <c r="D223" s="247"/>
      <c r="E223" s="114" t="s">
        <v>408</v>
      </c>
      <c r="F223" s="144"/>
      <c r="G223" s="112">
        <v>0</v>
      </c>
      <c r="H223" s="112">
        <v>72.3</v>
      </c>
      <c r="I223" s="49"/>
      <c r="J223" s="49"/>
      <c r="K223" s="49"/>
      <c r="L223" s="49"/>
      <c r="M223" s="45"/>
    </row>
    <row r="224" spans="1:17" ht="173.25" customHeight="1" x14ac:dyDescent="0.2">
      <c r="A224" s="174" t="s">
        <v>989</v>
      </c>
      <c r="B224" s="202">
        <v>100</v>
      </c>
      <c r="C224" s="186" t="s">
        <v>1000</v>
      </c>
      <c r="D224" s="247"/>
      <c r="E224" s="114" t="s">
        <v>402</v>
      </c>
      <c r="F224" s="144"/>
      <c r="G224" s="112">
        <v>0</v>
      </c>
      <c r="H224" s="112">
        <v>934.5</v>
      </c>
      <c r="I224" s="49"/>
      <c r="J224" s="49"/>
      <c r="K224" s="49"/>
      <c r="L224" s="49"/>
      <c r="M224" s="45"/>
    </row>
    <row r="225" spans="1:13" ht="128.25" customHeight="1" x14ac:dyDescent="0.2">
      <c r="A225" s="174" t="s">
        <v>990</v>
      </c>
      <c r="B225" s="234">
        <v>100</v>
      </c>
      <c r="C225" s="240" t="s">
        <v>1001</v>
      </c>
      <c r="D225" s="247"/>
      <c r="E225" s="231" t="s">
        <v>629</v>
      </c>
      <c r="F225" s="144"/>
      <c r="G225" s="243">
        <v>0</v>
      </c>
      <c r="H225" s="243">
        <v>22.2</v>
      </c>
      <c r="I225" s="49"/>
      <c r="J225" s="49"/>
      <c r="K225" s="49"/>
      <c r="L225" s="49"/>
      <c r="M225" s="45"/>
    </row>
    <row r="226" spans="1:13" ht="120" customHeight="1" x14ac:dyDescent="0.2">
      <c r="A226" s="174" t="s">
        <v>991</v>
      </c>
      <c r="B226" s="235"/>
      <c r="C226" s="241"/>
      <c r="D226" s="247"/>
      <c r="E226" s="232"/>
      <c r="F226" s="144"/>
      <c r="G226" s="244"/>
      <c r="H226" s="244"/>
      <c r="I226" s="49"/>
      <c r="J226" s="49"/>
      <c r="K226" s="49"/>
      <c r="L226" s="49"/>
      <c r="M226" s="45"/>
    </row>
    <row r="227" spans="1:13" ht="137.25" customHeight="1" x14ac:dyDescent="0.2">
      <c r="A227" s="174" t="s">
        <v>992</v>
      </c>
      <c r="B227" s="236"/>
      <c r="C227" s="242"/>
      <c r="D227" s="247"/>
      <c r="E227" s="233"/>
      <c r="F227" s="144"/>
      <c r="G227" s="245"/>
      <c r="H227" s="245"/>
      <c r="I227" s="49"/>
      <c r="J227" s="49"/>
      <c r="K227" s="49"/>
      <c r="L227" s="49"/>
      <c r="M227" s="45"/>
    </row>
    <row r="228" spans="1:13" ht="97.5" customHeight="1" x14ac:dyDescent="0.2">
      <c r="A228" s="192" t="s">
        <v>993</v>
      </c>
      <c r="B228" s="202">
        <v>100</v>
      </c>
      <c r="C228" s="186" t="s">
        <v>1002</v>
      </c>
      <c r="D228" s="248"/>
      <c r="E228" s="190" t="s">
        <v>896</v>
      </c>
      <c r="F228" s="144"/>
      <c r="G228" s="112">
        <v>0</v>
      </c>
      <c r="H228" s="112">
        <v>46.2</v>
      </c>
      <c r="I228" s="49"/>
      <c r="J228" s="49"/>
      <c r="K228" s="49"/>
      <c r="L228" s="49"/>
      <c r="M228" s="45"/>
    </row>
    <row r="229" spans="1:13" ht="33.75" customHeight="1" x14ac:dyDescent="0.2">
      <c r="A229" s="183" t="s">
        <v>1004</v>
      </c>
      <c r="B229" s="117"/>
      <c r="C229" s="186"/>
      <c r="D229" s="185"/>
      <c r="E229" s="190"/>
      <c r="F229" s="144"/>
      <c r="G229" s="112"/>
      <c r="H229" s="112"/>
      <c r="I229" s="49"/>
      <c r="J229" s="49"/>
      <c r="K229" s="49"/>
      <c r="L229" s="49"/>
      <c r="M229" s="45"/>
    </row>
    <row r="230" spans="1:13" ht="123" customHeight="1" x14ac:dyDescent="0.2">
      <c r="A230" s="183"/>
      <c r="B230" s="154"/>
      <c r="C230" s="186" t="s">
        <v>1005</v>
      </c>
      <c r="D230" s="174" t="s">
        <v>1003</v>
      </c>
      <c r="E230" s="190"/>
      <c r="F230" s="144"/>
      <c r="G230" s="112">
        <v>0</v>
      </c>
      <c r="H230" s="112">
        <f>H231+H234</f>
        <v>2308</v>
      </c>
      <c r="I230" s="49"/>
      <c r="J230" s="49"/>
      <c r="K230" s="49"/>
      <c r="L230" s="49"/>
      <c r="M230" s="45"/>
    </row>
    <row r="231" spans="1:13" ht="115.5" customHeight="1" x14ac:dyDescent="0.2">
      <c r="A231" s="174" t="s">
        <v>1003</v>
      </c>
      <c r="B231" s="234">
        <v>100</v>
      </c>
      <c r="C231" s="240" t="s">
        <v>1009</v>
      </c>
      <c r="D231" s="237" t="s">
        <v>1003</v>
      </c>
      <c r="E231" s="231" t="s">
        <v>629</v>
      </c>
      <c r="F231" s="144"/>
      <c r="G231" s="243">
        <v>0</v>
      </c>
      <c r="H231" s="243">
        <v>2295.5</v>
      </c>
      <c r="I231" s="49"/>
      <c r="J231" s="49"/>
      <c r="K231" s="49"/>
      <c r="L231" s="49"/>
      <c r="M231" s="45"/>
    </row>
    <row r="232" spans="1:13" ht="138" customHeight="1" x14ac:dyDescent="0.2">
      <c r="A232" s="174" t="s">
        <v>1006</v>
      </c>
      <c r="B232" s="235"/>
      <c r="C232" s="241"/>
      <c r="D232" s="238"/>
      <c r="E232" s="232"/>
      <c r="F232" s="144"/>
      <c r="G232" s="244"/>
      <c r="H232" s="244"/>
      <c r="I232" s="49"/>
      <c r="J232" s="49"/>
      <c r="K232" s="49"/>
      <c r="L232" s="49"/>
      <c r="M232" s="45"/>
    </row>
    <row r="233" spans="1:13" ht="141" customHeight="1" x14ac:dyDescent="0.2">
      <c r="A233" s="174" t="s">
        <v>1007</v>
      </c>
      <c r="B233" s="236"/>
      <c r="C233" s="242"/>
      <c r="D233" s="238"/>
      <c r="E233" s="233"/>
      <c r="F233" s="144"/>
      <c r="G233" s="245"/>
      <c r="H233" s="245"/>
      <c r="I233" s="49"/>
      <c r="J233" s="49"/>
      <c r="K233" s="49"/>
      <c r="L233" s="49"/>
      <c r="M233" s="45"/>
    </row>
    <row r="234" spans="1:13" ht="119.25" customHeight="1" x14ac:dyDescent="0.2">
      <c r="A234" s="174" t="s">
        <v>1008</v>
      </c>
      <c r="B234" s="117">
        <v>100</v>
      </c>
      <c r="C234" s="186" t="s">
        <v>1010</v>
      </c>
      <c r="D234" s="239"/>
      <c r="E234" s="182" t="s">
        <v>923</v>
      </c>
      <c r="F234" s="144"/>
      <c r="G234" s="112">
        <v>0</v>
      </c>
      <c r="H234" s="112">
        <v>12.5</v>
      </c>
      <c r="I234" s="49"/>
      <c r="J234" s="49"/>
      <c r="K234" s="49"/>
      <c r="L234" s="49"/>
      <c r="M234" s="45"/>
    </row>
    <row r="235" spans="1:13" ht="48" x14ac:dyDescent="0.2">
      <c r="A235" s="91" t="s">
        <v>242</v>
      </c>
      <c r="B235" s="119"/>
      <c r="C235" s="127"/>
      <c r="D235" s="127"/>
      <c r="E235" s="127"/>
      <c r="F235" s="128"/>
      <c r="G235" s="121"/>
      <c r="H235" s="121"/>
      <c r="I235" s="64"/>
      <c r="J235" s="50"/>
      <c r="K235" s="50"/>
      <c r="L235" s="50"/>
      <c r="M235" s="51"/>
    </row>
    <row r="236" spans="1:13" ht="48" x14ac:dyDescent="0.2">
      <c r="A236" s="91"/>
      <c r="B236" s="91"/>
      <c r="C236" s="114" t="s">
        <v>546</v>
      </c>
      <c r="D236" s="116" t="s">
        <v>242</v>
      </c>
      <c r="E236" s="127"/>
      <c r="F236" s="144">
        <f>149200/1000</f>
        <v>149.19999999999999</v>
      </c>
      <c r="G236" s="112">
        <f>G237+G238</f>
        <v>132</v>
      </c>
      <c r="H236" s="112">
        <v>0</v>
      </c>
      <c r="I236" s="49">
        <f t="shared" ref="I236:L236" si="54">I237</f>
        <v>1.5</v>
      </c>
      <c r="J236" s="49">
        <f t="shared" si="54"/>
        <v>0</v>
      </c>
      <c r="K236" s="49">
        <f t="shared" si="54"/>
        <v>0</v>
      </c>
      <c r="L236" s="49">
        <f t="shared" si="54"/>
        <v>0</v>
      </c>
      <c r="M236" s="45"/>
    </row>
    <row r="237" spans="1:13" ht="46.5" customHeight="1" x14ac:dyDescent="0.2">
      <c r="A237" s="116" t="s">
        <v>242</v>
      </c>
      <c r="B237" s="114" t="s">
        <v>396</v>
      </c>
      <c r="C237" s="138" t="s">
        <v>637</v>
      </c>
      <c r="D237" s="116" t="s">
        <v>242</v>
      </c>
      <c r="E237" s="114" t="s">
        <v>629</v>
      </c>
      <c r="F237" s="144">
        <f>149200/1000</f>
        <v>149.19999999999999</v>
      </c>
      <c r="G237" s="112">
        <v>69</v>
      </c>
      <c r="H237" s="112">
        <v>0</v>
      </c>
      <c r="I237" s="49">
        <v>1.5</v>
      </c>
      <c r="J237" s="49">
        <v>0</v>
      </c>
      <c r="K237" s="49">
        <v>0</v>
      </c>
      <c r="L237" s="49">
        <v>0</v>
      </c>
      <c r="M237" s="45"/>
    </row>
    <row r="238" spans="1:13" ht="57.75" customHeight="1" x14ac:dyDescent="0.2">
      <c r="A238" s="116" t="s">
        <v>242</v>
      </c>
      <c r="B238" s="114" t="s">
        <v>396</v>
      </c>
      <c r="C238" s="138" t="s">
        <v>900</v>
      </c>
      <c r="D238" s="116" t="s">
        <v>242</v>
      </c>
      <c r="E238" s="114" t="s">
        <v>412</v>
      </c>
      <c r="F238" s="75">
        <f>247002/1000</f>
        <v>247.00200000000001</v>
      </c>
      <c r="G238" s="112">
        <v>63</v>
      </c>
      <c r="H238" s="112">
        <v>0</v>
      </c>
      <c r="I238" s="49">
        <v>24</v>
      </c>
      <c r="J238" s="49">
        <v>0</v>
      </c>
      <c r="K238" s="49">
        <v>0</v>
      </c>
      <c r="L238" s="49">
        <v>0</v>
      </c>
      <c r="M238" s="45"/>
    </row>
    <row r="239" spans="1:13" ht="40.5" customHeight="1" x14ac:dyDescent="0.2">
      <c r="A239" s="91" t="s">
        <v>244</v>
      </c>
      <c r="B239" s="114"/>
      <c r="C239" s="114"/>
      <c r="D239" s="116"/>
      <c r="E239" s="114"/>
      <c r="F239" s="144"/>
      <c r="G239" s="139"/>
      <c r="H239" s="139"/>
      <c r="I239" s="49"/>
      <c r="J239" s="54"/>
      <c r="K239" s="54"/>
      <c r="L239" s="54"/>
      <c r="M239" s="45"/>
    </row>
    <row r="240" spans="1:13" ht="34.5" customHeight="1" x14ac:dyDescent="0.2">
      <c r="A240" s="91"/>
      <c r="B240" s="91"/>
      <c r="C240" s="114" t="s">
        <v>626</v>
      </c>
      <c r="D240" s="116" t="s">
        <v>244</v>
      </c>
      <c r="E240" s="127"/>
      <c r="F240" s="144"/>
      <c r="G240" s="112">
        <f>G241</f>
        <v>1.5</v>
      </c>
      <c r="H240" s="112">
        <v>0</v>
      </c>
      <c r="I240" s="49">
        <f t="shared" ref="I240:L240" si="55">I241</f>
        <v>18.7</v>
      </c>
      <c r="J240" s="49">
        <f t="shared" si="55"/>
        <v>0</v>
      </c>
      <c r="K240" s="49">
        <f t="shared" si="55"/>
        <v>0</v>
      </c>
      <c r="L240" s="49">
        <f t="shared" si="55"/>
        <v>0</v>
      </c>
      <c r="M240" s="45"/>
    </row>
    <row r="241" spans="1:13" ht="84" x14ac:dyDescent="0.2">
      <c r="A241" s="116" t="s">
        <v>246</v>
      </c>
      <c r="B241" s="114" t="s">
        <v>396</v>
      </c>
      <c r="C241" s="114" t="s">
        <v>547</v>
      </c>
      <c r="D241" s="116" t="s">
        <v>244</v>
      </c>
      <c r="E241" s="114" t="s">
        <v>411</v>
      </c>
      <c r="F241" s="144">
        <f>15000/1000</f>
        <v>15</v>
      </c>
      <c r="G241" s="112">
        <v>1.5</v>
      </c>
      <c r="H241" s="112">
        <v>0</v>
      </c>
      <c r="I241" s="49">
        <v>18.7</v>
      </c>
      <c r="J241" s="49">
        <v>0</v>
      </c>
      <c r="K241" s="49">
        <v>0</v>
      </c>
      <c r="L241" s="49">
        <v>0</v>
      </c>
      <c r="M241" s="45"/>
    </row>
    <row r="242" spans="1:13" ht="72" x14ac:dyDescent="0.2">
      <c r="A242" s="91" t="s">
        <v>254</v>
      </c>
      <c r="B242" s="119"/>
      <c r="C242" s="127"/>
      <c r="D242" s="127"/>
      <c r="E242" s="127"/>
      <c r="F242" s="128"/>
      <c r="G242" s="121"/>
      <c r="H242" s="121"/>
      <c r="I242" s="64"/>
      <c r="J242" s="50"/>
      <c r="K242" s="50"/>
      <c r="L242" s="50"/>
      <c r="M242" s="51"/>
    </row>
    <row r="243" spans="1:13" ht="72" x14ac:dyDescent="0.2">
      <c r="A243" s="91"/>
      <c r="B243" s="91"/>
      <c r="C243" s="114" t="s">
        <v>548</v>
      </c>
      <c r="D243" s="116" t="s">
        <v>254</v>
      </c>
      <c r="E243" s="127"/>
      <c r="F243" s="144">
        <f>146053.01/1000</f>
        <v>146.05301</v>
      </c>
      <c r="G243" s="112">
        <f>G244+G245+G246</f>
        <v>940.2</v>
      </c>
      <c r="H243" s="112">
        <v>0</v>
      </c>
      <c r="I243" s="49">
        <f t="shared" ref="I243:L243" si="56">I244</f>
        <v>65</v>
      </c>
      <c r="J243" s="49">
        <f t="shared" si="56"/>
        <v>0</v>
      </c>
      <c r="K243" s="49">
        <f t="shared" si="56"/>
        <v>0</v>
      </c>
      <c r="L243" s="49">
        <f t="shared" si="56"/>
        <v>0</v>
      </c>
      <c r="M243" s="45"/>
    </row>
    <row r="244" spans="1:13" ht="120" x14ac:dyDescent="0.2">
      <c r="A244" s="174" t="s">
        <v>256</v>
      </c>
      <c r="B244" s="114" t="s">
        <v>396</v>
      </c>
      <c r="C244" s="186" t="s">
        <v>1025</v>
      </c>
      <c r="D244" s="192" t="s">
        <v>254</v>
      </c>
      <c r="E244" s="114" t="s">
        <v>411</v>
      </c>
      <c r="F244" s="75"/>
      <c r="G244" s="112">
        <v>869.1</v>
      </c>
      <c r="H244" s="112">
        <v>0</v>
      </c>
      <c r="I244" s="49">
        <v>65</v>
      </c>
      <c r="J244" s="49">
        <v>0</v>
      </c>
      <c r="K244" s="49">
        <v>0</v>
      </c>
      <c r="L244" s="49">
        <v>0</v>
      </c>
      <c r="M244" s="45"/>
    </row>
    <row r="245" spans="1:13" ht="120" x14ac:dyDescent="0.2">
      <c r="A245" s="174" t="s">
        <v>256</v>
      </c>
      <c r="B245" s="114" t="s">
        <v>396</v>
      </c>
      <c r="C245" s="186" t="s">
        <v>1026</v>
      </c>
      <c r="D245" s="192" t="s">
        <v>254</v>
      </c>
      <c r="E245" s="190" t="s">
        <v>896</v>
      </c>
      <c r="F245" s="75"/>
      <c r="G245" s="149">
        <v>0.5</v>
      </c>
      <c r="H245" s="149">
        <v>0</v>
      </c>
      <c r="I245" s="49"/>
      <c r="J245" s="54"/>
      <c r="K245" s="54"/>
      <c r="L245" s="54"/>
      <c r="M245" s="45"/>
    </row>
    <row r="246" spans="1:13" ht="120" x14ac:dyDescent="0.2">
      <c r="A246" s="174" t="s">
        <v>256</v>
      </c>
      <c r="B246" s="114" t="s">
        <v>396</v>
      </c>
      <c r="C246" s="186" t="s">
        <v>1027</v>
      </c>
      <c r="D246" s="192" t="s">
        <v>254</v>
      </c>
      <c r="E246" s="114" t="s">
        <v>406</v>
      </c>
      <c r="F246" s="75">
        <f>10000/1000</f>
        <v>10</v>
      </c>
      <c r="G246" s="112">
        <v>70.599999999999994</v>
      </c>
      <c r="H246" s="112">
        <v>0</v>
      </c>
      <c r="I246" s="49" t="e">
        <f>#REF!</f>
        <v>#REF!</v>
      </c>
      <c r="J246" s="49" t="e">
        <f>#REF!</f>
        <v>#REF!</v>
      </c>
      <c r="K246" s="49" t="e">
        <f>#REF!</f>
        <v>#REF!</v>
      </c>
      <c r="L246" s="49" t="e">
        <f>#REF!</f>
        <v>#REF!</v>
      </c>
      <c r="M246" s="45"/>
    </row>
    <row r="247" spans="1:13" ht="36" x14ac:dyDescent="0.2">
      <c r="A247" s="91" t="s">
        <v>260</v>
      </c>
      <c r="B247" s="114"/>
      <c r="C247" s="114"/>
      <c r="D247" s="116"/>
      <c r="E247" s="114"/>
      <c r="F247" s="144"/>
      <c r="G247" s="139"/>
      <c r="H247" s="139"/>
      <c r="I247" s="49"/>
      <c r="J247" s="54"/>
      <c r="K247" s="54"/>
      <c r="L247" s="54"/>
      <c r="M247" s="45"/>
    </row>
    <row r="248" spans="1:13" ht="72" x14ac:dyDescent="0.2">
      <c r="A248" s="91"/>
      <c r="B248" s="91"/>
      <c r="C248" s="114" t="s">
        <v>549</v>
      </c>
      <c r="D248" s="116" t="s">
        <v>264</v>
      </c>
      <c r="E248" s="127"/>
      <c r="F248" s="144">
        <f>520874.15/1000</f>
        <v>520.87414999999999</v>
      </c>
      <c r="G248" s="112">
        <f>G249</f>
        <v>33</v>
      </c>
      <c r="H248" s="112">
        <v>0</v>
      </c>
      <c r="I248" s="49">
        <f t="shared" ref="I248:L248" si="57">I249</f>
        <v>10</v>
      </c>
      <c r="J248" s="49">
        <f t="shared" si="57"/>
        <v>0</v>
      </c>
      <c r="K248" s="49">
        <f t="shared" si="57"/>
        <v>0</v>
      </c>
      <c r="L248" s="49">
        <f t="shared" si="57"/>
        <v>0</v>
      </c>
      <c r="M248" s="45"/>
    </row>
    <row r="249" spans="1:13" ht="120" x14ac:dyDescent="0.2">
      <c r="A249" s="113" t="s">
        <v>266</v>
      </c>
      <c r="B249" s="117">
        <v>100</v>
      </c>
      <c r="C249" s="114" t="s">
        <v>550</v>
      </c>
      <c r="D249" s="116" t="s">
        <v>264</v>
      </c>
      <c r="E249" s="114" t="s">
        <v>406</v>
      </c>
      <c r="F249" s="144">
        <f>520874.15/1000</f>
        <v>520.87414999999999</v>
      </c>
      <c r="G249" s="112">
        <v>33</v>
      </c>
      <c r="H249" s="112">
        <v>0</v>
      </c>
      <c r="I249" s="49">
        <v>10</v>
      </c>
      <c r="J249" s="49">
        <v>0</v>
      </c>
      <c r="K249" s="49">
        <v>0</v>
      </c>
      <c r="L249" s="49">
        <v>0</v>
      </c>
      <c r="M249" s="45"/>
    </row>
    <row r="250" spans="1:13" ht="36" x14ac:dyDescent="0.2">
      <c r="A250" s="183" t="s">
        <v>269</v>
      </c>
      <c r="B250" s="114"/>
      <c r="C250" s="114"/>
      <c r="D250" s="116"/>
      <c r="E250" s="114"/>
      <c r="F250" s="144"/>
      <c r="G250" s="112"/>
      <c r="H250" s="112"/>
      <c r="I250" s="49"/>
      <c r="J250" s="54"/>
      <c r="K250" s="54"/>
      <c r="L250" s="54"/>
      <c r="M250" s="45"/>
    </row>
    <row r="251" spans="1:13" ht="36" x14ac:dyDescent="0.2">
      <c r="A251" s="116"/>
      <c r="B251" s="114"/>
      <c r="C251" s="114" t="s">
        <v>551</v>
      </c>
      <c r="D251" s="116" t="s">
        <v>269</v>
      </c>
      <c r="E251" s="114"/>
      <c r="F251" s="144"/>
      <c r="G251" s="112">
        <f>G252</f>
        <v>387.4</v>
      </c>
      <c r="H251" s="112">
        <v>0</v>
      </c>
      <c r="I251" s="49">
        <f t="shared" ref="I251:L251" si="58">I252</f>
        <v>30</v>
      </c>
      <c r="J251" s="49">
        <f t="shared" si="58"/>
        <v>0</v>
      </c>
      <c r="K251" s="49">
        <f t="shared" si="58"/>
        <v>0</v>
      </c>
      <c r="L251" s="49">
        <f t="shared" si="58"/>
        <v>0</v>
      </c>
      <c r="M251" s="45"/>
    </row>
    <row r="252" spans="1:13" ht="72" x14ac:dyDescent="0.2">
      <c r="A252" s="116" t="s">
        <v>271</v>
      </c>
      <c r="B252" s="114" t="s">
        <v>396</v>
      </c>
      <c r="C252" s="114" t="s">
        <v>552</v>
      </c>
      <c r="D252" s="116" t="s">
        <v>269</v>
      </c>
      <c r="E252" s="114" t="s">
        <v>406</v>
      </c>
      <c r="F252" s="144"/>
      <c r="G252" s="112">
        <v>387.4</v>
      </c>
      <c r="H252" s="112">
        <v>0</v>
      </c>
      <c r="I252" s="49">
        <v>30</v>
      </c>
      <c r="J252" s="49">
        <v>0</v>
      </c>
      <c r="K252" s="49">
        <v>0</v>
      </c>
      <c r="L252" s="49">
        <v>0</v>
      </c>
      <c r="M252" s="45"/>
    </row>
    <row r="253" spans="1:13" ht="84" x14ac:dyDescent="0.2">
      <c r="A253" s="91" t="s">
        <v>274</v>
      </c>
      <c r="B253" s="91"/>
      <c r="C253" s="127"/>
      <c r="D253" s="127"/>
      <c r="E253" s="127"/>
      <c r="F253" s="128"/>
      <c r="G253" s="121"/>
      <c r="H253" s="121"/>
      <c r="I253" s="64"/>
      <c r="J253" s="50"/>
      <c r="K253" s="50"/>
      <c r="L253" s="50"/>
      <c r="M253" s="51"/>
    </row>
    <row r="254" spans="1:13" ht="84" x14ac:dyDescent="0.2">
      <c r="A254" s="91"/>
      <c r="B254" s="91"/>
      <c r="C254" s="114" t="s">
        <v>553</v>
      </c>
      <c r="D254" s="116" t="s">
        <v>276</v>
      </c>
      <c r="E254" s="127"/>
      <c r="F254" s="144">
        <f>474463.8/1000</f>
        <v>474.46379999999999</v>
      </c>
      <c r="G254" s="112">
        <f>G255+G256</f>
        <v>126.4</v>
      </c>
      <c r="H254" s="112">
        <v>0</v>
      </c>
      <c r="I254" s="49">
        <f>I255+I257+I256</f>
        <v>1044.5999999999999</v>
      </c>
      <c r="J254" s="49">
        <f t="shared" ref="J254:L254" si="59">J255+J257+J256</f>
        <v>0</v>
      </c>
      <c r="K254" s="49">
        <f t="shared" si="59"/>
        <v>0</v>
      </c>
      <c r="L254" s="49">
        <f t="shared" si="59"/>
        <v>0</v>
      </c>
      <c r="M254" s="45"/>
    </row>
    <row r="255" spans="1:13" ht="108" x14ac:dyDescent="0.2">
      <c r="A255" s="116" t="s">
        <v>276</v>
      </c>
      <c r="B255" s="138" t="s">
        <v>396</v>
      </c>
      <c r="C255" s="114" t="s">
        <v>627</v>
      </c>
      <c r="D255" s="116" t="s">
        <v>276</v>
      </c>
      <c r="E255" s="138" t="s">
        <v>623</v>
      </c>
      <c r="F255" s="144">
        <f>430574.11/1000</f>
        <v>430.57410999999996</v>
      </c>
      <c r="G255" s="112">
        <v>120.4</v>
      </c>
      <c r="H255" s="112">
        <v>0</v>
      </c>
      <c r="I255" s="49">
        <v>976.1</v>
      </c>
      <c r="J255" s="49">
        <v>0</v>
      </c>
      <c r="K255" s="49">
        <v>0</v>
      </c>
      <c r="L255" s="49">
        <v>0</v>
      </c>
      <c r="M255" s="45"/>
    </row>
    <row r="256" spans="1:13" ht="84" x14ac:dyDescent="0.2">
      <c r="A256" s="116" t="s">
        <v>276</v>
      </c>
      <c r="B256" s="138" t="s">
        <v>396</v>
      </c>
      <c r="C256" s="114" t="s">
        <v>902</v>
      </c>
      <c r="D256" s="116" t="s">
        <v>276</v>
      </c>
      <c r="E256" s="190" t="s">
        <v>903</v>
      </c>
      <c r="F256" s="144"/>
      <c r="G256" s="112">
        <v>6</v>
      </c>
      <c r="H256" s="112">
        <v>0</v>
      </c>
      <c r="I256" s="49">
        <v>0.5</v>
      </c>
      <c r="J256" s="49">
        <v>0</v>
      </c>
      <c r="K256" s="49">
        <v>0</v>
      </c>
      <c r="L256" s="49">
        <v>0</v>
      </c>
      <c r="M256" s="45"/>
    </row>
    <row r="257" spans="1:13" ht="24" x14ac:dyDescent="0.2">
      <c r="A257" s="91" t="s">
        <v>279</v>
      </c>
      <c r="B257" s="91"/>
      <c r="C257" s="127"/>
      <c r="D257" s="127"/>
      <c r="E257" s="127"/>
      <c r="F257" s="144">
        <f>43889.69/1000</f>
        <v>43.889690000000002</v>
      </c>
      <c r="G257" s="112"/>
      <c r="H257" s="112"/>
      <c r="I257" s="49">
        <v>68</v>
      </c>
      <c r="J257" s="49">
        <v>0</v>
      </c>
      <c r="K257" s="49">
        <v>0</v>
      </c>
      <c r="L257" s="49">
        <v>0</v>
      </c>
      <c r="M257" s="45"/>
    </row>
    <row r="258" spans="1:13" ht="48" x14ac:dyDescent="0.2">
      <c r="A258" s="91"/>
      <c r="B258" s="91"/>
      <c r="C258" s="114" t="s">
        <v>554</v>
      </c>
      <c r="D258" s="116" t="s">
        <v>281</v>
      </c>
      <c r="E258" s="127"/>
      <c r="F258" s="128"/>
      <c r="G258" s="173">
        <f>G259+G260</f>
        <v>227.5</v>
      </c>
      <c r="H258" s="173">
        <v>0</v>
      </c>
      <c r="I258" s="64"/>
      <c r="J258" s="50"/>
      <c r="K258" s="50"/>
      <c r="L258" s="50"/>
      <c r="M258" s="51"/>
    </row>
    <row r="259" spans="1:13" ht="48" x14ac:dyDescent="0.2">
      <c r="A259" s="116" t="s">
        <v>281</v>
      </c>
      <c r="B259" s="114" t="s">
        <v>396</v>
      </c>
      <c r="C259" s="114" t="s">
        <v>863</v>
      </c>
      <c r="D259" s="116" t="s">
        <v>281</v>
      </c>
      <c r="E259" s="114" t="s">
        <v>629</v>
      </c>
      <c r="F259" s="144">
        <f>66082.7/1000</f>
        <v>66.082700000000003</v>
      </c>
      <c r="G259" s="112">
        <v>0.6</v>
      </c>
      <c r="H259" s="112">
        <v>0</v>
      </c>
      <c r="I259" s="49">
        <f t="shared" ref="I259:L259" si="60">I260</f>
        <v>28</v>
      </c>
      <c r="J259" s="49">
        <f t="shared" si="60"/>
        <v>0</v>
      </c>
      <c r="K259" s="49">
        <f t="shared" si="60"/>
        <v>0</v>
      </c>
      <c r="L259" s="49">
        <f t="shared" si="60"/>
        <v>0</v>
      </c>
      <c r="M259" s="45"/>
    </row>
    <row r="260" spans="1:13" ht="96" x14ac:dyDescent="0.2">
      <c r="A260" s="116" t="s">
        <v>283</v>
      </c>
      <c r="B260" s="114" t="s">
        <v>396</v>
      </c>
      <c r="C260" s="114" t="s">
        <v>555</v>
      </c>
      <c r="D260" s="116" t="s">
        <v>281</v>
      </c>
      <c r="E260" s="114" t="s">
        <v>412</v>
      </c>
      <c r="F260" s="144">
        <f>66082.7/1000</f>
        <v>66.082700000000003</v>
      </c>
      <c r="G260" s="112">
        <v>226.9</v>
      </c>
      <c r="H260" s="112">
        <v>0</v>
      </c>
      <c r="I260" s="49">
        <v>28</v>
      </c>
      <c r="J260" s="49">
        <v>0</v>
      </c>
      <c r="K260" s="49">
        <v>0</v>
      </c>
      <c r="L260" s="49">
        <v>0</v>
      </c>
      <c r="M260" s="45"/>
    </row>
    <row r="261" spans="1:13" ht="84" x14ac:dyDescent="0.2">
      <c r="A261" s="91" t="s">
        <v>286</v>
      </c>
      <c r="B261" s="91"/>
      <c r="C261" s="127"/>
      <c r="D261" s="127"/>
      <c r="E261" s="127"/>
      <c r="F261" s="144">
        <f>50543.55/1000</f>
        <v>50.543550000000003</v>
      </c>
      <c r="G261" s="112"/>
      <c r="H261" s="112"/>
      <c r="I261" s="49">
        <f t="shared" ref="I261:L261" si="61">I262+I263</f>
        <v>31.3</v>
      </c>
      <c r="J261" s="49">
        <f t="shared" si="61"/>
        <v>0</v>
      </c>
      <c r="K261" s="49">
        <f t="shared" si="61"/>
        <v>0</v>
      </c>
      <c r="L261" s="49">
        <f t="shared" si="61"/>
        <v>0</v>
      </c>
      <c r="M261" s="45"/>
    </row>
    <row r="262" spans="1:13" ht="84" x14ac:dyDescent="0.2">
      <c r="A262" s="116"/>
      <c r="B262" s="116"/>
      <c r="C262" s="114" t="s">
        <v>556</v>
      </c>
      <c r="D262" s="116" t="s">
        <v>286</v>
      </c>
      <c r="E262" s="114"/>
      <c r="F262" s="144">
        <f>50000/1000</f>
        <v>50</v>
      </c>
      <c r="G262" s="112">
        <f>G263+G265+G264</f>
        <v>1810.9</v>
      </c>
      <c r="H262" s="112">
        <v>0</v>
      </c>
      <c r="I262" s="49">
        <v>31.3</v>
      </c>
      <c r="J262" s="49">
        <v>0</v>
      </c>
      <c r="K262" s="49">
        <v>0</v>
      </c>
      <c r="L262" s="49">
        <v>0</v>
      </c>
      <c r="M262" s="45"/>
    </row>
    <row r="263" spans="1:13" ht="132" x14ac:dyDescent="0.2">
      <c r="A263" s="113" t="s">
        <v>288</v>
      </c>
      <c r="B263" s="117" t="s">
        <v>396</v>
      </c>
      <c r="C263" s="114" t="s">
        <v>864</v>
      </c>
      <c r="D263" s="116" t="s">
        <v>286</v>
      </c>
      <c r="E263" s="190" t="s">
        <v>409</v>
      </c>
      <c r="F263" s="144">
        <f>543.55/1000</f>
        <v>0.54354999999999998</v>
      </c>
      <c r="G263" s="112">
        <v>15</v>
      </c>
      <c r="H263" s="112">
        <v>0</v>
      </c>
      <c r="I263" s="49">
        <v>0</v>
      </c>
      <c r="J263" s="49">
        <v>0</v>
      </c>
      <c r="K263" s="49">
        <v>0</v>
      </c>
      <c r="L263" s="49">
        <v>0</v>
      </c>
      <c r="M263" s="45"/>
    </row>
    <row r="264" spans="1:13" ht="132" x14ac:dyDescent="0.2">
      <c r="A264" s="174" t="s">
        <v>288</v>
      </c>
      <c r="B264" s="117">
        <v>100</v>
      </c>
      <c r="C264" s="114" t="s">
        <v>910</v>
      </c>
      <c r="D264" s="116" t="s">
        <v>286</v>
      </c>
      <c r="E264" s="193" t="s">
        <v>911</v>
      </c>
      <c r="F264" s="144"/>
      <c r="G264" s="112">
        <v>191</v>
      </c>
      <c r="H264" s="112">
        <v>0</v>
      </c>
      <c r="I264" s="49"/>
      <c r="J264" s="49"/>
      <c r="K264" s="49"/>
      <c r="L264" s="49"/>
      <c r="M264" s="45"/>
    </row>
    <row r="265" spans="1:13" ht="84" x14ac:dyDescent="0.2">
      <c r="A265" s="113" t="s">
        <v>286</v>
      </c>
      <c r="B265" s="117">
        <v>100</v>
      </c>
      <c r="C265" s="114" t="s">
        <v>628</v>
      </c>
      <c r="D265" s="116" t="s">
        <v>286</v>
      </c>
      <c r="E265" s="114" t="s">
        <v>629</v>
      </c>
      <c r="F265" s="128"/>
      <c r="G265" s="173">
        <v>1604.9</v>
      </c>
      <c r="H265" s="173">
        <v>0</v>
      </c>
      <c r="I265" s="64"/>
      <c r="J265" s="50"/>
      <c r="K265" s="50"/>
      <c r="L265" s="50"/>
      <c r="M265" s="51"/>
    </row>
    <row r="266" spans="1:13" ht="36" x14ac:dyDescent="0.2">
      <c r="A266" s="91" t="s">
        <v>291</v>
      </c>
      <c r="B266" s="91"/>
      <c r="C266" s="127"/>
      <c r="D266" s="127"/>
      <c r="E266" s="127"/>
      <c r="F266" s="128"/>
      <c r="G266" s="121"/>
      <c r="H266" s="121"/>
      <c r="I266" s="64"/>
      <c r="J266" s="50"/>
      <c r="K266" s="50"/>
      <c r="L266" s="50"/>
      <c r="M266" s="51"/>
    </row>
    <row r="267" spans="1:13" ht="48" x14ac:dyDescent="0.2">
      <c r="A267" s="91"/>
      <c r="B267" s="91"/>
      <c r="C267" s="114" t="s">
        <v>557</v>
      </c>
      <c r="D267" s="116" t="s">
        <v>293</v>
      </c>
      <c r="E267" s="127"/>
      <c r="F267" s="144">
        <f>23010.23/1000</f>
        <v>23.01023</v>
      </c>
      <c r="G267" s="112">
        <f>G268+G269+G270+G271+G272+G273+G274+G275+G276+G277+G278</f>
        <v>5073.5000000000009</v>
      </c>
      <c r="H267" s="112">
        <v>0</v>
      </c>
      <c r="I267" s="49" t="e">
        <f>I269+#REF!+I270+I271+I268</f>
        <v>#REF!</v>
      </c>
      <c r="J267" s="49" t="e">
        <f>J269+#REF!+J270+J271</f>
        <v>#REF!</v>
      </c>
      <c r="K267" s="49" t="e">
        <f>K269+#REF!+K270+K271</f>
        <v>#REF!</v>
      </c>
      <c r="L267" s="49" t="e">
        <f>L269+#REF!+L270+L271</f>
        <v>#REF!</v>
      </c>
      <c r="M267" s="45"/>
    </row>
    <row r="268" spans="1:13" ht="48" x14ac:dyDescent="0.2">
      <c r="A268" s="116" t="s">
        <v>293</v>
      </c>
      <c r="B268" s="114" t="s">
        <v>396</v>
      </c>
      <c r="C268" s="114" t="s">
        <v>558</v>
      </c>
      <c r="D268" s="116" t="s">
        <v>293</v>
      </c>
      <c r="E268" s="138" t="s">
        <v>410</v>
      </c>
      <c r="F268" s="144"/>
      <c r="G268" s="112">
        <v>44.3</v>
      </c>
      <c r="H268" s="112">
        <v>0</v>
      </c>
      <c r="I268" s="49">
        <v>15</v>
      </c>
      <c r="J268" s="49">
        <v>0</v>
      </c>
      <c r="K268" s="49">
        <v>0</v>
      </c>
      <c r="L268" s="49">
        <v>0</v>
      </c>
      <c r="M268" s="45"/>
    </row>
    <row r="269" spans="1:13" ht="48" x14ac:dyDescent="0.2">
      <c r="A269" s="116" t="s">
        <v>293</v>
      </c>
      <c r="B269" s="114" t="s">
        <v>396</v>
      </c>
      <c r="C269" s="114" t="s">
        <v>630</v>
      </c>
      <c r="D269" s="116" t="s">
        <v>293</v>
      </c>
      <c r="E269" s="114" t="s">
        <v>631</v>
      </c>
      <c r="F269" s="144"/>
      <c r="G269" s="112">
        <v>50</v>
      </c>
      <c r="H269" s="112">
        <v>0</v>
      </c>
      <c r="I269" s="49">
        <v>1605</v>
      </c>
      <c r="J269" s="49">
        <v>0</v>
      </c>
      <c r="K269" s="49">
        <v>0</v>
      </c>
      <c r="L269" s="49">
        <v>0</v>
      </c>
      <c r="M269" s="45"/>
    </row>
    <row r="270" spans="1:13" ht="48" x14ac:dyDescent="0.2">
      <c r="A270" s="116" t="s">
        <v>293</v>
      </c>
      <c r="B270" s="114" t="s">
        <v>396</v>
      </c>
      <c r="C270" s="114" t="s">
        <v>632</v>
      </c>
      <c r="D270" s="116" t="s">
        <v>293</v>
      </c>
      <c r="E270" s="114" t="s">
        <v>629</v>
      </c>
      <c r="F270" s="144"/>
      <c r="G270" s="112">
        <v>24</v>
      </c>
      <c r="H270" s="112">
        <v>0</v>
      </c>
      <c r="I270" s="49">
        <v>171.3</v>
      </c>
      <c r="J270" s="49">
        <v>0</v>
      </c>
      <c r="K270" s="49">
        <v>0</v>
      </c>
      <c r="L270" s="49">
        <v>0</v>
      </c>
      <c r="M270" s="45"/>
    </row>
    <row r="271" spans="1:13" ht="48" x14ac:dyDescent="0.2">
      <c r="A271" s="116" t="s">
        <v>293</v>
      </c>
      <c r="B271" s="114" t="s">
        <v>396</v>
      </c>
      <c r="C271" s="114" t="s">
        <v>559</v>
      </c>
      <c r="D271" s="116" t="s">
        <v>293</v>
      </c>
      <c r="E271" s="114" t="s">
        <v>402</v>
      </c>
      <c r="F271" s="144">
        <f>23010.23/1000</f>
        <v>23.01023</v>
      </c>
      <c r="G271" s="112">
        <v>1903</v>
      </c>
      <c r="H271" s="112">
        <v>0</v>
      </c>
      <c r="I271" s="49">
        <v>0</v>
      </c>
      <c r="J271" s="49">
        <v>0</v>
      </c>
      <c r="K271" s="49">
        <v>0</v>
      </c>
      <c r="L271" s="49">
        <v>0</v>
      </c>
      <c r="M271" s="45"/>
    </row>
    <row r="272" spans="1:13" ht="108" x14ac:dyDescent="0.2">
      <c r="A272" s="116" t="s">
        <v>293</v>
      </c>
      <c r="B272" s="114" t="s">
        <v>396</v>
      </c>
      <c r="C272" s="114" t="s">
        <v>852</v>
      </c>
      <c r="D272" s="116" t="s">
        <v>293</v>
      </c>
      <c r="E272" s="138" t="s">
        <v>623</v>
      </c>
      <c r="F272" s="128"/>
      <c r="G272" s="173">
        <v>689</v>
      </c>
      <c r="H272" s="112">
        <v>0</v>
      </c>
      <c r="I272" s="64"/>
      <c r="J272" s="50"/>
      <c r="K272" s="50"/>
      <c r="L272" s="50"/>
      <c r="M272" s="51"/>
    </row>
    <row r="273" spans="1:16" ht="96" x14ac:dyDescent="0.2">
      <c r="A273" s="113" t="s">
        <v>298</v>
      </c>
      <c r="B273" s="114" t="s">
        <v>396</v>
      </c>
      <c r="C273" s="114" t="s">
        <v>904</v>
      </c>
      <c r="D273" s="116" t="s">
        <v>293</v>
      </c>
      <c r="E273" s="114" t="s">
        <v>412</v>
      </c>
      <c r="F273" s="144">
        <f>4616348.78/1000</f>
        <v>4616.3487800000003</v>
      </c>
      <c r="G273" s="112">
        <v>1083.4000000000001</v>
      </c>
      <c r="H273" s="112">
        <v>0</v>
      </c>
      <c r="I273" s="49" t="e">
        <f>I274+I275+I276+I277+#REF!+#REF!+#REF!+#REF!+I278+#REF!+#REF!+#REF!</f>
        <v>#REF!</v>
      </c>
      <c r="J273" s="49" t="e">
        <f>J274+J275+J276+J277+#REF!+#REF!+#REF!+#REF!+J278+#REF!+#REF!+#REF!</f>
        <v>#REF!</v>
      </c>
      <c r="K273" s="49" t="e">
        <f>K274+K275+K276+K277+#REF!+#REF!+#REF!+#REF!+K278+#REF!+#REF!+#REF!</f>
        <v>#REF!</v>
      </c>
      <c r="L273" s="49" t="e">
        <f>L274+L275+L276+L277+#REF!+#REF!+#REF!+#REF!+L278+#REF!+#REF!+#REF!</f>
        <v>#REF!</v>
      </c>
      <c r="M273" s="45"/>
      <c r="P273" s="79"/>
    </row>
    <row r="274" spans="1:16" ht="96" x14ac:dyDescent="0.2">
      <c r="A274" s="113" t="s">
        <v>298</v>
      </c>
      <c r="B274" s="114" t="s">
        <v>396</v>
      </c>
      <c r="C274" s="114" t="s">
        <v>905</v>
      </c>
      <c r="D274" s="116" t="s">
        <v>293</v>
      </c>
      <c r="E274" s="114" t="s">
        <v>411</v>
      </c>
      <c r="F274" s="144">
        <f>106000/1000</f>
        <v>106</v>
      </c>
      <c r="G274" s="112">
        <v>75</v>
      </c>
      <c r="H274" s="112">
        <v>0</v>
      </c>
      <c r="I274" s="49">
        <v>47.7</v>
      </c>
      <c r="J274" s="49">
        <v>0</v>
      </c>
      <c r="K274" s="49">
        <v>0</v>
      </c>
      <c r="L274" s="49">
        <v>0</v>
      </c>
      <c r="M274" s="45"/>
    </row>
    <row r="275" spans="1:16" ht="96" x14ac:dyDescent="0.2">
      <c r="A275" s="113" t="s">
        <v>298</v>
      </c>
      <c r="B275" s="114" t="s">
        <v>396</v>
      </c>
      <c r="C275" s="114" t="s">
        <v>906</v>
      </c>
      <c r="D275" s="116" t="s">
        <v>293</v>
      </c>
      <c r="E275" s="138" t="s">
        <v>409</v>
      </c>
      <c r="F275" s="144">
        <f>10800/1000</f>
        <v>10.8</v>
      </c>
      <c r="G275" s="112">
        <v>51.9</v>
      </c>
      <c r="H275" s="112">
        <v>0</v>
      </c>
      <c r="I275" s="49">
        <v>50</v>
      </c>
      <c r="J275" s="49">
        <v>0</v>
      </c>
      <c r="K275" s="49">
        <v>0</v>
      </c>
      <c r="L275" s="49">
        <v>0</v>
      </c>
      <c r="M275" s="45"/>
    </row>
    <row r="276" spans="1:16" ht="96" x14ac:dyDescent="0.2">
      <c r="A276" s="113" t="s">
        <v>298</v>
      </c>
      <c r="B276" s="114" t="s">
        <v>396</v>
      </c>
      <c r="C276" s="114" t="s">
        <v>907</v>
      </c>
      <c r="D276" s="116" t="s">
        <v>293</v>
      </c>
      <c r="E276" s="114" t="s">
        <v>366</v>
      </c>
      <c r="F276" s="120">
        <f>216709.94/1000</f>
        <v>216.70993999999999</v>
      </c>
      <c r="G276" s="112">
        <v>1.6</v>
      </c>
      <c r="H276" s="112">
        <v>0</v>
      </c>
      <c r="I276" s="49">
        <v>18.8</v>
      </c>
      <c r="J276" s="49">
        <v>0</v>
      </c>
      <c r="K276" s="49">
        <v>0</v>
      </c>
      <c r="L276" s="49">
        <v>0</v>
      </c>
      <c r="M276" s="45"/>
    </row>
    <row r="277" spans="1:16" ht="96" x14ac:dyDescent="0.2">
      <c r="A277" s="113" t="s">
        <v>298</v>
      </c>
      <c r="B277" s="114" t="s">
        <v>396</v>
      </c>
      <c r="C277" s="114" t="s">
        <v>909</v>
      </c>
      <c r="D277" s="116" t="s">
        <v>293</v>
      </c>
      <c r="E277" s="114" t="s">
        <v>406</v>
      </c>
      <c r="F277" s="120"/>
      <c r="G277" s="112">
        <v>1057.7</v>
      </c>
      <c r="H277" s="112">
        <v>0</v>
      </c>
      <c r="I277" s="49">
        <v>8</v>
      </c>
      <c r="J277" s="49">
        <v>0</v>
      </c>
      <c r="K277" s="49">
        <v>0</v>
      </c>
      <c r="L277" s="49">
        <v>0</v>
      </c>
      <c r="M277" s="45"/>
    </row>
    <row r="278" spans="1:16" ht="96" x14ac:dyDescent="0.2">
      <c r="A278" s="113" t="s">
        <v>298</v>
      </c>
      <c r="B278" s="114" t="s">
        <v>396</v>
      </c>
      <c r="C278" s="114" t="s">
        <v>908</v>
      </c>
      <c r="D278" s="116" t="s">
        <v>293</v>
      </c>
      <c r="E278" s="114" t="s">
        <v>408</v>
      </c>
      <c r="F278" s="144">
        <f>103812.13/1000</f>
        <v>103.81213000000001</v>
      </c>
      <c r="G278" s="112">
        <v>93.6</v>
      </c>
      <c r="H278" s="112">
        <v>0</v>
      </c>
      <c r="I278" s="49">
        <v>57.7</v>
      </c>
      <c r="J278" s="49">
        <v>0</v>
      </c>
      <c r="K278" s="49">
        <v>0</v>
      </c>
      <c r="L278" s="49">
        <v>0</v>
      </c>
      <c r="M278" s="45"/>
    </row>
    <row r="279" spans="1:16" ht="12" x14ac:dyDescent="0.2">
      <c r="A279" s="91" t="s">
        <v>483</v>
      </c>
      <c r="B279" s="91"/>
      <c r="C279" s="127"/>
      <c r="D279" s="127"/>
      <c r="E279" s="127"/>
      <c r="F279" s="128"/>
      <c r="G279" s="121"/>
      <c r="H279" s="121"/>
      <c r="I279" s="64"/>
      <c r="J279" s="50"/>
      <c r="K279" s="50"/>
      <c r="L279" s="50"/>
      <c r="M279" s="51"/>
    </row>
    <row r="280" spans="1:16" ht="36" x14ac:dyDescent="0.2">
      <c r="A280" s="91"/>
      <c r="B280" s="91"/>
      <c r="C280" s="114" t="s">
        <v>560</v>
      </c>
      <c r="D280" s="116" t="s">
        <v>428</v>
      </c>
      <c r="E280" s="127"/>
      <c r="F280" s="144">
        <v>0</v>
      </c>
      <c r="G280" s="112">
        <v>18</v>
      </c>
      <c r="H280" s="112">
        <f>H281+H282</f>
        <v>22.3</v>
      </c>
      <c r="I280" s="49">
        <v>0</v>
      </c>
      <c r="J280" s="49">
        <v>0</v>
      </c>
      <c r="K280" s="49">
        <v>0</v>
      </c>
      <c r="L280" s="49">
        <v>0</v>
      </c>
      <c r="M280" s="76"/>
    </row>
    <row r="281" spans="1:16" ht="36" x14ac:dyDescent="0.2">
      <c r="A281" s="116" t="s">
        <v>428</v>
      </c>
      <c r="B281" s="114" t="s">
        <v>396</v>
      </c>
      <c r="C281" s="114" t="s">
        <v>865</v>
      </c>
      <c r="D281" s="116" t="s">
        <v>428</v>
      </c>
      <c r="E281" s="114" t="s">
        <v>399</v>
      </c>
      <c r="F281" s="144"/>
      <c r="G281" s="112">
        <v>2.5</v>
      </c>
      <c r="H281" s="112">
        <v>-2.5</v>
      </c>
      <c r="I281" s="49">
        <v>0</v>
      </c>
      <c r="J281" s="49">
        <v>0</v>
      </c>
      <c r="K281" s="49">
        <v>0</v>
      </c>
      <c r="L281" s="49">
        <v>0</v>
      </c>
      <c r="M281" s="76"/>
    </row>
    <row r="282" spans="1:16" ht="36" x14ac:dyDescent="0.2">
      <c r="A282" s="116" t="s">
        <v>428</v>
      </c>
      <c r="B282" s="114" t="s">
        <v>396</v>
      </c>
      <c r="C282" s="114" t="s">
        <v>561</v>
      </c>
      <c r="D282" s="116" t="s">
        <v>428</v>
      </c>
      <c r="E282" s="138" t="s">
        <v>2</v>
      </c>
      <c r="F282" s="144">
        <v>0</v>
      </c>
      <c r="G282" s="112">
        <v>15.5</v>
      </c>
      <c r="H282" s="112">
        <v>24.8</v>
      </c>
      <c r="I282" s="49">
        <v>0</v>
      </c>
      <c r="J282" s="49">
        <v>0</v>
      </c>
      <c r="K282" s="49">
        <v>0</v>
      </c>
      <c r="L282" s="49">
        <v>0</v>
      </c>
      <c r="M282" s="76"/>
    </row>
    <row r="283" spans="1:16" ht="12" x14ac:dyDescent="0.2">
      <c r="A283" s="91" t="s">
        <v>633</v>
      </c>
      <c r="B283" s="114"/>
      <c r="C283" s="114"/>
      <c r="D283" s="116"/>
      <c r="E283" s="138"/>
      <c r="F283" s="144"/>
      <c r="G283" s="139"/>
      <c r="H283" s="139"/>
      <c r="I283" s="49"/>
      <c r="J283" s="54"/>
      <c r="K283" s="54"/>
      <c r="L283" s="54"/>
      <c r="M283" s="45"/>
    </row>
    <row r="284" spans="1:16" ht="24" x14ac:dyDescent="0.2">
      <c r="A284" s="91"/>
      <c r="B284" s="91"/>
      <c r="C284" s="114" t="s">
        <v>562</v>
      </c>
      <c r="D284" s="116" t="s">
        <v>311</v>
      </c>
      <c r="E284" s="127"/>
      <c r="F284" s="144">
        <f>113445.95/1000</f>
        <v>113.44595</v>
      </c>
      <c r="G284" s="112">
        <v>475.6</v>
      </c>
      <c r="H284" s="112">
        <f>H285+H287</f>
        <v>343.1</v>
      </c>
      <c r="I284" s="49">
        <f>I287+I288</f>
        <v>50</v>
      </c>
      <c r="J284" s="49">
        <f t="shared" ref="J284:L284" si="62">J287+J288</f>
        <v>30</v>
      </c>
      <c r="K284" s="49">
        <f t="shared" si="62"/>
        <v>30</v>
      </c>
      <c r="L284" s="49">
        <f t="shared" si="62"/>
        <v>30</v>
      </c>
      <c r="M284" s="45"/>
    </row>
    <row r="285" spans="1:16" ht="36" x14ac:dyDescent="0.2">
      <c r="A285" s="116" t="s">
        <v>311</v>
      </c>
      <c r="B285" s="114" t="s">
        <v>396</v>
      </c>
      <c r="C285" s="114" t="s">
        <v>866</v>
      </c>
      <c r="D285" s="116" t="s">
        <v>311</v>
      </c>
      <c r="E285" s="114" t="s">
        <v>399</v>
      </c>
      <c r="F285" s="144"/>
      <c r="G285" s="112">
        <v>37.200000000000003</v>
      </c>
      <c r="H285" s="112">
        <v>159.6</v>
      </c>
      <c r="I285" s="49">
        <v>0</v>
      </c>
      <c r="J285" s="49">
        <v>0</v>
      </c>
      <c r="K285" s="49">
        <v>0</v>
      </c>
      <c r="L285" s="49">
        <v>0</v>
      </c>
      <c r="M285" s="45"/>
    </row>
    <row r="286" spans="1:16" ht="36" hidden="1" x14ac:dyDescent="0.2">
      <c r="A286" s="46" t="s">
        <v>311</v>
      </c>
      <c r="B286" s="47" t="s">
        <v>396</v>
      </c>
      <c r="C286" s="47" t="s">
        <v>853</v>
      </c>
      <c r="D286" s="46" t="s">
        <v>311</v>
      </c>
      <c r="E286" s="47" t="s">
        <v>2</v>
      </c>
      <c r="F286" s="75"/>
      <c r="G286" s="105"/>
      <c r="H286" s="112">
        <v>0</v>
      </c>
      <c r="I286" s="49">
        <v>0</v>
      </c>
      <c r="J286" s="49">
        <v>0</v>
      </c>
      <c r="K286" s="49">
        <v>0</v>
      </c>
      <c r="L286" s="49">
        <v>0</v>
      </c>
      <c r="M286" s="45"/>
    </row>
    <row r="287" spans="1:16" ht="108" x14ac:dyDescent="0.2">
      <c r="A287" s="116" t="s">
        <v>311</v>
      </c>
      <c r="B287" s="114" t="s">
        <v>396</v>
      </c>
      <c r="C287" s="114" t="s">
        <v>563</v>
      </c>
      <c r="D287" s="116" t="s">
        <v>311</v>
      </c>
      <c r="E287" s="138" t="s">
        <v>623</v>
      </c>
      <c r="F287" s="144">
        <f>110498.9/1000</f>
        <v>110.49889999999999</v>
      </c>
      <c r="G287" s="112">
        <v>438.4</v>
      </c>
      <c r="H287" s="112">
        <v>183.5</v>
      </c>
      <c r="I287" s="49">
        <v>50</v>
      </c>
      <c r="J287" s="49">
        <v>30</v>
      </c>
      <c r="K287" s="49">
        <v>30</v>
      </c>
      <c r="L287" s="49">
        <v>30</v>
      </c>
      <c r="M287" s="45"/>
    </row>
    <row r="288" spans="1:16" ht="84" hidden="1" x14ac:dyDescent="0.2">
      <c r="A288" s="46" t="s">
        <v>311</v>
      </c>
      <c r="B288" s="47" t="s">
        <v>396</v>
      </c>
      <c r="C288" s="47" t="s">
        <v>634</v>
      </c>
      <c r="D288" s="46" t="s">
        <v>311</v>
      </c>
      <c r="E288" s="47" t="s">
        <v>432</v>
      </c>
      <c r="F288" s="75">
        <f>110498.9/1000</f>
        <v>110.49889999999999</v>
      </c>
      <c r="G288" s="105"/>
      <c r="H288" s="112">
        <v>0</v>
      </c>
      <c r="I288" s="49">
        <v>0</v>
      </c>
      <c r="J288" s="49">
        <v>0</v>
      </c>
      <c r="K288" s="49">
        <v>0</v>
      </c>
      <c r="L288" s="49">
        <v>0</v>
      </c>
      <c r="M288" s="45"/>
    </row>
    <row r="289" spans="1:17" ht="24" x14ac:dyDescent="0.2">
      <c r="A289" s="91" t="s">
        <v>318</v>
      </c>
      <c r="B289" s="91"/>
      <c r="C289" s="127"/>
      <c r="D289" s="127"/>
      <c r="E289" s="127"/>
      <c r="F289" s="144">
        <f>10823600/1000</f>
        <v>10823.6</v>
      </c>
      <c r="G289" s="121"/>
      <c r="H289" s="121"/>
      <c r="I289" s="64"/>
      <c r="J289" s="50"/>
      <c r="K289" s="50"/>
      <c r="L289" s="50"/>
      <c r="M289" s="51"/>
    </row>
    <row r="290" spans="1:17" ht="36" x14ac:dyDescent="0.2">
      <c r="A290" s="91"/>
      <c r="B290" s="91"/>
      <c r="C290" s="114" t="s">
        <v>673</v>
      </c>
      <c r="D290" s="116" t="s">
        <v>435</v>
      </c>
      <c r="E290" s="127"/>
      <c r="F290" s="144"/>
      <c r="G290" s="112">
        <f>G291</f>
        <v>35934</v>
      </c>
      <c r="H290" s="112">
        <f>H291</f>
        <v>3454.6</v>
      </c>
      <c r="I290" s="49">
        <f t="shared" ref="I290:L290" si="63">I291</f>
        <v>35934</v>
      </c>
      <c r="J290" s="49">
        <f t="shared" si="63"/>
        <v>4606.2</v>
      </c>
      <c r="K290" s="49">
        <f t="shared" si="63"/>
        <v>325.7</v>
      </c>
      <c r="L290" s="49">
        <f t="shared" si="63"/>
        <v>0</v>
      </c>
      <c r="M290" s="45"/>
    </row>
    <row r="291" spans="1:17" ht="36" x14ac:dyDescent="0.2">
      <c r="A291" s="116" t="s">
        <v>435</v>
      </c>
      <c r="B291" s="114" t="s">
        <v>396</v>
      </c>
      <c r="C291" s="114" t="s">
        <v>672</v>
      </c>
      <c r="D291" s="116" t="s">
        <v>435</v>
      </c>
      <c r="E291" s="138" t="s">
        <v>2</v>
      </c>
      <c r="F291" s="144"/>
      <c r="G291" s="112">
        <v>35934</v>
      </c>
      <c r="H291" s="112">
        <v>3454.6</v>
      </c>
      <c r="I291" s="49">
        <v>35934</v>
      </c>
      <c r="J291" s="49">
        <v>4606.2</v>
      </c>
      <c r="K291" s="49">
        <v>325.7</v>
      </c>
      <c r="L291" s="49">
        <v>0</v>
      </c>
      <c r="M291" s="45"/>
    </row>
    <row r="292" spans="1:17" ht="48" x14ac:dyDescent="0.2">
      <c r="A292" s="91"/>
      <c r="B292" s="91"/>
      <c r="C292" s="114" t="s">
        <v>671</v>
      </c>
      <c r="D292" s="116" t="s">
        <v>320</v>
      </c>
      <c r="E292" s="127"/>
      <c r="F292" s="144"/>
      <c r="G292" s="112">
        <f>G293</f>
        <v>190513.1</v>
      </c>
      <c r="H292" s="112">
        <f>H293</f>
        <v>14771</v>
      </c>
      <c r="I292" s="49">
        <f>I293</f>
        <v>190513.1</v>
      </c>
      <c r="J292" s="49">
        <f>J293</f>
        <v>0</v>
      </c>
      <c r="K292" s="49">
        <f t="shared" ref="K292:L292" si="64">K293</f>
        <v>0</v>
      </c>
      <c r="L292" s="49">
        <f t="shared" si="64"/>
        <v>0</v>
      </c>
      <c r="M292" s="45"/>
    </row>
    <row r="293" spans="1:17" ht="48" x14ac:dyDescent="0.2">
      <c r="A293" s="116" t="s">
        <v>320</v>
      </c>
      <c r="B293" s="114" t="s">
        <v>396</v>
      </c>
      <c r="C293" s="114" t="s">
        <v>670</v>
      </c>
      <c r="D293" s="116" t="s">
        <v>320</v>
      </c>
      <c r="E293" s="138" t="s">
        <v>2</v>
      </c>
      <c r="F293" s="144"/>
      <c r="G293" s="112">
        <v>190513.1</v>
      </c>
      <c r="H293" s="112">
        <v>14771</v>
      </c>
      <c r="I293" s="49">
        <v>190513.1</v>
      </c>
      <c r="J293" s="49">
        <v>0</v>
      </c>
      <c r="K293" s="49">
        <v>0</v>
      </c>
      <c r="L293" s="49">
        <v>0</v>
      </c>
      <c r="M293" s="45"/>
    </row>
    <row r="294" spans="1:17" ht="36" x14ac:dyDescent="0.2">
      <c r="A294" s="91" t="s">
        <v>321</v>
      </c>
      <c r="B294" s="127"/>
      <c r="C294" s="127"/>
      <c r="D294" s="127"/>
      <c r="E294" s="127"/>
      <c r="F294" s="144">
        <f>178331300/1000</f>
        <v>178331.3</v>
      </c>
      <c r="G294" s="121"/>
      <c r="H294" s="121"/>
      <c r="I294" s="64"/>
      <c r="J294" s="50"/>
      <c r="K294" s="50"/>
      <c r="L294" s="50"/>
      <c r="M294" s="51"/>
    </row>
    <row r="295" spans="1:17" ht="48" x14ac:dyDescent="0.2">
      <c r="A295" s="91"/>
      <c r="B295" s="127"/>
      <c r="C295" s="138" t="s">
        <v>669</v>
      </c>
      <c r="D295" s="116" t="s">
        <v>488</v>
      </c>
      <c r="E295" s="127"/>
      <c r="F295" s="144"/>
      <c r="G295" s="112">
        <f>G296</f>
        <v>7821.1</v>
      </c>
      <c r="H295" s="112">
        <f>H296</f>
        <v>92207.6</v>
      </c>
      <c r="I295" s="49">
        <f>I296</f>
        <v>213898.16</v>
      </c>
      <c r="J295" s="49">
        <f t="shared" ref="J295:L295" si="65">J296</f>
        <v>337679.8</v>
      </c>
      <c r="K295" s="49">
        <f t="shared" si="65"/>
        <v>89279</v>
      </c>
      <c r="L295" s="49">
        <f t="shared" si="65"/>
        <v>0</v>
      </c>
      <c r="M295" s="74">
        <f>H295+H305+H307+H299</f>
        <v>306322.09999999998</v>
      </c>
      <c r="N295" s="74" t="e">
        <f t="shared" ref="N295:Q295" si="66">I295+I305+I307+I299</f>
        <v>#REF!</v>
      </c>
      <c r="O295" s="74" t="e">
        <f t="shared" si="66"/>
        <v>#REF!</v>
      </c>
      <c r="P295" s="74" t="e">
        <f t="shared" si="66"/>
        <v>#REF!</v>
      </c>
      <c r="Q295" s="74" t="e">
        <f t="shared" si="66"/>
        <v>#REF!</v>
      </c>
    </row>
    <row r="296" spans="1:17" ht="108" x14ac:dyDescent="0.2">
      <c r="A296" s="116" t="s">
        <v>488</v>
      </c>
      <c r="B296" s="114" t="s">
        <v>396</v>
      </c>
      <c r="C296" s="138" t="s">
        <v>854</v>
      </c>
      <c r="D296" s="116" t="s">
        <v>488</v>
      </c>
      <c r="E296" s="138" t="s">
        <v>623</v>
      </c>
      <c r="F296" s="144"/>
      <c r="G296" s="112">
        <v>7821.1</v>
      </c>
      <c r="H296" s="112">
        <v>92207.6</v>
      </c>
      <c r="I296" s="49">
        <v>213898.16</v>
      </c>
      <c r="J296" s="49">
        <f>16816.8+320863</f>
        <v>337679.8</v>
      </c>
      <c r="K296" s="49">
        <v>89279</v>
      </c>
      <c r="L296" s="49">
        <v>0</v>
      </c>
      <c r="M296" s="45"/>
    </row>
    <row r="297" spans="1:17" ht="36" x14ac:dyDescent="0.2">
      <c r="A297" s="116"/>
      <c r="B297" s="114"/>
      <c r="C297" s="138" t="s">
        <v>668</v>
      </c>
      <c r="D297" s="116" t="s">
        <v>602</v>
      </c>
      <c r="E297" s="138"/>
      <c r="F297" s="144"/>
      <c r="G297" s="112">
        <f>G298</f>
        <v>7966.2</v>
      </c>
      <c r="H297" s="112">
        <f t="shared" ref="H297:L297" si="67">H298</f>
        <v>9954.7999999999993</v>
      </c>
      <c r="I297" s="49">
        <f t="shared" si="67"/>
        <v>0</v>
      </c>
      <c r="J297" s="49">
        <f t="shared" si="67"/>
        <v>0</v>
      </c>
      <c r="K297" s="49">
        <f t="shared" si="67"/>
        <v>386.6</v>
      </c>
      <c r="L297" s="49">
        <f t="shared" si="67"/>
        <v>291.89999999999998</v>
      </c>
      <c r="M297" s="45"/>
    </row>
    <row r="298" spans="1:17" ht="48" x14ac:dyDescent="0.2">
      <c r="A298" s="116" t="s">
        <v>602</v>
      </c>
      <c r="B298" s="114" t="s">
        <v>396</v>
      </c>
      <c r="C298" s="138" t="s">
        <v>667</v>
      </c>
      <c r="D298" s="116" t="s">
        <v>602</v>
      </c>
      <c r="E298" s="114" t="s">
        <v>624</v>
      </c>
      <c r="F298" s="144"/>
      <c r="G298" s="112">
        <v>7966.2</v>
      </c>
      <c r="H298" s="112">
        <v>9954.7999999999993</v>
      </c>
      <c r="I298" s="49">
        <v>0</v>
      </c>
      <c r="J298" s="49">
        <v>0</v>
      </c>
      <c r="K298" s="49">
        <v>386.6</v>
      </c>
      <c r="L298" s="49">
        <v>291.89999999999998</v>
      </c>
      <c r="M298" s="45"/>
    </row>
    <row r="299" spans="1:17" ht="36" x14ac:dyDescent="0.2">
      <c r="A299" s="116"/>
      <c r="B299" s="127"/>
      <c r="C299" s="138" t="s">
        <v>666</v>
      </c>
      <c r="D299" s="116" t="s">
        <v>434</v>
      </c>
      <c r="E299" s="138"/>
      <c r="F299" s="144"/>
      <c r="G299" s="112">
        <f>G300</f>
        <v>309.39999999999998</v>
      </c>
      <c r="H299" s="112">
        <f t="shared" ref="H299:L299" si="68">H300</f>
        <v>0</v>
      </c>
      <c r="I299" s="49">
        <f t="shared" si="68"/>
        <v>0</v>
      </c>
      <c r="J299" s="49">
        <f t="shared" si="68"/>
        <v>56466.6</v>
      </c>
      <c r="K299" s="49">
        <f t="shared" si="68"/>
        <v>137157.29999999999</v>
      </c>
      <c r="L299" s="49">
        <f t="shared" si="68"/>
        <v>0</v>
      </c>
      <c r="M299" s="45"/>
    </row>
    <row r="300" spans="1:17" ht="48.75" customHeight="1" x14ac:dyDescent="0.2">
      <c r="A300" s="116" t="s">
        <v>434</v>
      </c>
      <c r="B300" s="114" t="s">
        <v>396</v>
      </c>
      <c r="C300" s="138" t="s">
        <v>665</v>
      </c>
      <c r="D300" s="116" t="s">
        <v>434</v>
      </c>
      <c r="E300" s="114" t="s">
        <v>624</v>
      </c>
      <c r="F300" s="144"/>
      <c r="G300" s="112">
        <v>309.39999999999998</v>
      </c>
      <c r="H300" s="112">
        <v>0</v>
      </c>
      <c r="I300" s="49">
        <v>0</v>
      </c>
      <c r="J300" s="49">
        <v>56466.6</v>
      </c>
      <c r="K300" s="49">
        <v>137157.29999999999</v>
      </c>
      <c r="L300" s="49">
        <v>0</v>
      </c>
      <c r="M300" s="45"/>
    </row>
    <row r="301" spans="1:17" ht="84" hidden="1" x14ac:dyDescent="0.2">
      <c r="A301" s="46"/>
      <c r="B301" s="47"/>
      <c r="C301" s="65" t="s">
        <v>889</v>
      </c>
      <c r="D301" s="46" t="s">
        <v>888</v>
      </c>
      <c r="E301" s="65"/>
      <c r="F301" s="75"/>
      <c r="G301" s="105">
        <f>G302</f>
        <v>0</v>
      </c>
      <c r="H301" s="112">
        <f t="shared" ref="H301:L301" si="69">H302</f>
        <v>0</v>
      </c>
      <c r="I301" s="49">
        <f t="shared" si="69"/>
        <v>0</v>
      </c>
      <c r="J301" s="49">
        <f t="shared" si="69"/>
        <v>5650.5</v>
      </c>
      <c r="K301" s="49">
        <f t="shared" si="69"/>
        <v>0</v>
      </c>
      <c r="L301" s="49">
        <f t="shared" si="69"/>
        <v>0</v>
      </c>
      <c r="M301" s="45"/>
    </row>
    <row r="302" spans="1:17" ht="108" hidden="1" x14ac:dyDescent="0.2">
      <c r="A302" s="46" t="s">
        <v>888</v>
      </c>
      <c r="B302" s="47" t="s">
        <v>396</v>
      </c>
      <c r="C302" s="65" t="s">
        <v>890</v>
      </c>
      <c r="D302" s="46" t="s">
        <v>888</v>
      </c>
      <c r="E302" s="65" t="s">
        <v>623</v>
      </c>
      <c r="F302" s="75"/>
      <c r="G302" s="105">
        <v>0</v>
      </c>
      <c r="H302" s="112">
        <v>0</v>
      </c>
      <c r="I302" s="49">
        <v>0</v>
      </c>
      <c r="J302" s="49">
        <v>5650.5</v>
      </c>
      <c r="K302" s="49">
        <v>0</v>
      </c>
      <c r="L302" s="49">
        <v>0</v>
      </c>
      <c r="M302" s="45"/>
    </row>
    <row r="303" spans="1:17" ht="72" hidden="1" x14ac:dyDescent="0.2">
      <c r="A303" s="46"/>
      <c r="B303" s="47"/>
      <c r="C303" s="65" t="s">
        <v>893</v>
      </c>
      <c r="D303" s="46" t="s">
        <v>891</v>
      </c>
      <c r="E303" s="65"/>
      <c r="F303" s="75"/>
      <c r="G303" s="105">
        <f>G304</f>
        <v>0</v>
      </c>
      <c r="H303" s="112">
        <f t="shared" ref="H303:L303" si="70">H304</f>
        <v>0</v>
      </c>
      <c r="I303" s="49">
        <f t="shared" si="70"/>
        <v>0</v>
      </c>
      <c r="J303" s="49">
        <f t="shared" si="70"/>
        <v>0</v>
      </c>
      <c r="K303" s="49">
        <f t="shared" si="70"/>
        <v>6370</v>
      </c>
      <c r="L303" s="49">
        <f t="shared" si="70"/>
        <v>0</v>
      </c>
      <c r="M303" s="45"/>
    </row>
    <row r="304" spans="1:17" ht="72" hidden="1" x14ac:dyDescent="0.2">
      <c r="A304" s="46" t="s">
        <v>891</v>
      </c>
      <c r="B304" s="47" t="s">
        <v>396</v>
      </c>
      <c r="C304" s="65" t="s">
        <v>892</v>
      </c>
      <c r="D304" s="46" t="s">
        <v>891</v>
      </c>
      <c r="E304" s="47" t="s">
        <v>624</v>
      </c>
      <c r="F304" s="75"/>
      <c r="G304" s="105">
        <v>0</v>
      </c>
      <c r="H304" s="112">
        <v>0</v>
      </c>
      <c r="I304" s="49">
        <v>0</v>
      </c>
      <c r="J304" s="49">
        <v>0</v>
      </c>
      <c r="K304" s="49">
        <v>6370</v>
      </c>
      <c r="L304" s="49">
        <v>0</v>
      </c>
      <c r="M304" s="45"/>
    </row>
    <row r="305" spans="1:24" ht="36" hidden="1" x14ac:dyDescent="0.2">
      <c r="A305" s="39"/>
      <c r="B305" s="56"/>
      <c r="C305" s="47" t="s">
        <v>666</v>
      </c>
      <c r="D305" s="46" t="s">
        <v>434</v>
      </c>
      <c r="E305" s="56"/>
      <c r="F305" s="75"/>
      <c r="G305" s="105">
        <f>G306</f>
        <v>0</v>
      </c>
      <c r="H305" s="112"/>
      <c r="I305" s="49">
        <f t="shared" ref="I305:L305" si="71">I306</f>
        <v>309.38400000000001</v>
      </c>
      <c r="J305" s="49">
        <f t="shared" si="71"/>
        <v>0</v>
      </c>
      <c r="K305" s="49">
        <f t="shared" si="71"/>
        <v>0</v>
      </c>
      <c r="L305" s="49">
        <f t="shared" si="71"/>
        <v>0</v>
      </c>
      <c r="M305" s="45"/>
    </row>
    <row r="306" spans="1:24" ht="48" hidden="1" x14ac:dyDescent="0.2">
      <c r="A306" s="46" t="s">
        <v>434</v>
      </c>
      <c r="B306" s="47" t="s">
        <v>396</v>
      </c>
      <c r="C306" s="47" t="s">
        <v>665</v>
      </c>
      <c r="D306" s="46" t="s">
        <v>434</v>
      </c>
      <c r="E306" s="47" t="s">
        <v>624</v>
      </c>
      <c r="F306" s="75"/>
      <c r="G306" s="105"/>
      <c r="H306" s="112"/>
      <c r="I306" s="49">
        <v>309.38400000000001</v>
      </c>
      <c r="J306" s="49">
        <v>0</v>
      </c>
      <c r="K306" s="49">
        <v>0</v>
      </c>
      <c r="L306" s="49">
        <v>0</v>
      </c>
      <c r="M306" s="45"/>
    </row>
    <row r="307" spans="1:24" ht="24" x14ac:dyDescent="0.2">
      <c r="A307" s="91"/>
      <c r="B307" s="91"/>
      <c r="C307" s="114" t="s">
        <v>664</v>
      </c>
      <c r="D307" s="116" t="s">
        <v>324</v>
      </c>
      <c r="E307" s="127"/>
      <c r="F307" s="144"/>
      <c r="G307" s="149">
        <f>G308+G309+G310+G311</f>
        <v>224891</v>
      </c>
      <c r="H307" s="149">
        <f>H308+H309+H310+H311</f>
        <v>214114.5</v>
      </c>
      <c r="I307" s="49" t="e">
        <f>I308+I309+#REF!+I311+I310</f>
        <v>#REF!</v>
      </c>
      <c r="J307" s="49" t="e">
        <f>J308+J309+#REF!+J311+J310</f>
        <v>#REF!</v>
      </c>
      <c r="K307" s="49" t="e">
        <f>K308+K309+#REF!+K311+K310</f>
        <v>#REF!</v>
      </c>
      <c r="L307" s="49" t="e">
        <f>L308+L309+#REF!+L311+L310</f>
        <v>#REF!</v>
      </c>
      <c r="M307" s="45"/>
    </row>
    <row r="308" spans="1:24" ht="48" x14ac:dyDescent="0.2">
      <c r="A308" s="116" t="s">
        <v>324</v>
      </c>
      <c r="B308" s="114" t="s">
        <v>396</v>
      </c>
      <c r="C308" s="114" t="s">
        <v>663</v>
      </c>
      <c r="D308" s="116" t="s">
        <v>324</v>
      </c>
      <c r="E308" s="114" t="s">
        <v>624</v>
      </c>
      <c r="F308" s="144"/>
      <c r="G308" s="112">
        <v>1127.3</v>
      </c>
      <c r="H308" s="112">
        <v>1087.8</v>
      </c>
      <c r="I308" s="49">
        <v>1127.3440000000001</v>
      </c>
      <c r="J308" s="49">
        <f>68.5+949.1</f>
        <v>1017.6</v>
      </c>
      <c r="K308" s="49">
        <f>102.6</f>
        <v>102.6</v>
      </c>
      <c r="L308" s="49">
        <v>102.6</v>
      </c>
      <c r="M308" s="45"/>
    </row>
    <row r="309" spans="1:24" ht="36" x14ac:dyDescent="0.2">
      <c r="A309" s="116" t="s">
        <v>324</v>
      </c>
      <c r="B309" s="114" t="s">
        <v>396</v>
      </c>
      <c r="C309" s="114" t="s">
        <v>662</v>
      </c>
      <c r="D309" s="116" t="s">
        <v>324</v>
      </c>
      <c r="E309" s="114" t="s">
        <v>399</v>
      </c>
      <c r="F309" s="144"/>
      <c r="G309" s="112">
        <v>59347.4</v>
      </c>
      <c r="H309" s="112">
        <v>6234.8</v>
      </c>
      <c r="I309" s="49">
        <v>64905.5</v>
      </c>
      <c r="J309" s="49">
        <f>331.5+1578.9+8069.2+4219.1</f>
        <v>14198.7</v>
      </c>
      <c r="K309" s="49">
        <f>321.7+512.8+5332.2+9070.8+1740</f>
        <v>16977.5</v>
      </c>
      <c r="L309" s="49">
        <f>321.7+497.3+5332.2+3696.7+5898.6</f>
        <v>15746.5</v>
      </c>
      <c r="M309" s="45"/>
    </row>
    <row r="310" spans="1:24" ht="36" x14ac:dyDescent="0.2">
      <c r="A310" s="116" t="s">
        <v>324</v>
      </c>
      <c r="B310" s="114" t="s">
        <v>396</v>
      </c>
      <c r="C310" s="114" t="s">
        <v>661</v>
      </c>
      <c r="D310" s="116" t="s">
        <v>324</v>
      </c>
      <c r="E310" s="138" t="s">
        <v>2</v>
      </c>
      <c r="F310" s="144"/>
      <c r="G310" s="112">
        <v>141434.4</v>
      </c>
      <c r="H310" s="112">
        <v>200265.4</v>
      </c>
      <c r="I310" s="49">
        <v>116442.031</v>
      </c>
      <c r="J310" s="49">
        <f>15000+126149.2+5149.1+106071.8</f>
        <v>252370.10000000003</v>
      </c>
      <c r="K310" s="49">
        <f>15000+78999.5+5149.1+91496</f>
        <v>190644.6</v>
      </c>
      <c r="L310" s="49">
        <f>15000+78641.1+5149.1+91933.1</f>
        <v>190723.30000000002</v>
      </c>
      <c r="M310" s="45"/>
    </row>
    <row r="311" spans="1:24" ht="108" x14ac:dyDescent="0.2">
      <c r="A311" s="116" t="s">
        <v>324</v>
      </c>
      <c r="B311" s="114" t="s">
        <v>396</v>
      </c>
      <c r="C311" s="114" t="s">
        <v>660</v>
      </c>
      <c r="D311" s="116" t="s">
        <v>324</v>
      </c>
      <c r="E311" s="138" t="s">
        <v>623</v>
      </c>
      <c r="F311" s="144"/>
      <c r="G311" s="112">
        <v>22981.9</v>
      </c>
      <c r="H311" s="112">
        <v>6526.5</v>
      </c>
      <c r="I311" s="49">
        <v>23562.799999999999</v>
      </c>
      <c r="J311" s="49">
        <f>16281+8335+61134</f>
        <v>85750</v>
      </c>
      <c r="K311" s="49">
        <f>39555.9</f>
        <v>39555.9</v>
      </c>
      <c r="L311" s="49">
        <v>0</v>
      </c>
      <c r="M311" s="45"/>
    </row>
    <row r="312" spans="1:24" ht="24" x14ac:dyDescent="0.2">
      <c r="A312" s="91" t="s">
        <v>328</v>
      </c>
      <c r="B312" s="91"/>
      <c r="C312" s="127"/>
      <c r="D312" s="127"/>
      <c r="E312" s="127"/>
      <c r="F312" s="144">
        <f>961693173.65/1000</f>
        <v>961693.17365000001</v>
      </c>
      <c r="G312" s="121"/>
      <c r="H312" s="121"/>
      <c r="I312" s="64"/>
      <c r="J312" s="50"/>
      <c r="K312" s="50"/>
      <c r="L312" s="50"/>
      <c r="M312" s="51"/>
    </row>
    <row r="313" spans="1:24" ht="48" x14ac:dyDescent="0.2">
      <c r="A313" s="91"/>
      <c r="B313" s="91"/>
      <c r="C313" s="114" t="s">
        <v>659</v>
      </c>
      <c r="D313" s="116" t="s">
        <v>330</v>
      </c>
      <c r="E313" s="127"/>
      <c r="F313" s="144"/>
      <c r="G313" s="112">
        <f>G314</f>
        <v>75083.899999999994</v>
      </c>
      <c r="H313" s="112">
        <f>H314</f>
        <v>59221.1</v>
      </c>
      <c r="I313" s="49">
        <f t="shared" ref="I313:L313" si="72">I314</f>
        <v>76147.7</v>
      </c>
      <c r="J313" s="49">
        <f t="shared" si="72"/>
        <v>72792.5</v>
      </c>
      <c r="K313" s="49">
        <f t="shared" si="72"/>
        <v>72792.5</v>
      </c>
      <c r="L313" s="49">
        <f t="shared" si="72"/>
        <v>72792.5</v>
      </c>
      <c r="M313" s="74">
        <f>H313+H315+H319+H323+H321</f>
        <v>923565</v>
      </c>
      <c r="N313" s="74">
        <f t="shared" ref="N313:P313" si="73">I313+I315+I319+I323+I321</f>
        <v>1219280.2</v>
      </c>
      <c r="O313" s="74">
        <f t="shared" si="73"/>
        <v>1250318.8</v>
      </c>
      <c r="P313" s="74">
        <f t="shared" si="73"/>
        <v>1206999.7999999998</v>
      </c>
      <c r="Q313" s="74">
        <f>L313+L315+L319+L323+L321</f>
        <v>1207099.7</v>
      </c>
    </row>
    <row r="314" spans="1:24" ht="78.75" customHeight="1" x14ac:dyDescent="0.2">
      <c r="A314" s="116" t="s">
        <v>330</v>
      </c>
      <c r="B314" s="114" t="s">
        <v>396</v>
      </c>
      <c r="C314" s="114" t="s">
        <v>658</v>
      </c>
      <c r="D314" s="116" t="s">
        <v>330</v>
      </c>
      <c r="E314" s="138" t="s">
        <v>413</v>
      </c>
      <c r="F314" s="144"/>
      <c r="G314" s="112">
        <v>75083.899999999994</v>
      </c>
      <c r="H314" s="112">
        <v>59221.1</v>
      </c>
      <c r="I314" s="49">
        <v>76147.7</v>
      </c>
      <c r="J314" s="49">
        <v>72792.5</v>
      </c>
      <c r="K314" s="49">
        <v>72792.5</v>
      </c>
      <c r="L314" s="49">
        <v>72792.5</v>
      </c>
      <c r="M314" s="45"/>
    </row>
    <row r="315" spans="1:24" ht="48" x14ac:dyDescent="0.2">
      <c r="A315" s="91"/>
      <c r="B315" s="91"/>
      <c r="C315" s="114" t="s">
        <v>657</v>
      </c>
      <c r="D315" s="116" t="s">
        <v>332</v>
      </c>
      <c r="E315" s="127"/>
      <c r="F315" s="144"/>
      <c r="G315" s="112">
        <v>36437.300000000003</v>
      </c>
      <c r="H315" s="112">
        <f>H316+H317+H318</f>
        <v>50560.399999999994</v>
      </c>
      <c r="I315" s="49">
        <f>I316+I317+I318</f>
        <v>42301.7</v>
      </c>
      <c r="J315" s="49">
        <f t="shared" ref="J315:L315" si="74">J316+J317+J318</f>
        <v>87962.6</v>
      </c>
      <c r="K315" s="49">
        <f t="shared" si="74"/>
        <v>58771.1</v>
      </c>
      <c r="L315" s="49">
        <f t="shared" si="74"/>
        <v>58771.1</v>
      </c>
      <c r="M315" s="45"/>
    </row>
    <row r="316" spans="1:24" ht="48" x14ac:dyDescent="0.2">
      <c r="A316" s="116" t="s">
        <v>332</v>
      </c>
      <c r="B316" s="114" t="s">
        <v>396</v>
      </c>
      <c r="C316" s="114" t="s">
        <v>656</v>
      </c>
      <c r="D316" s="116" t="s">
        <v>332</v>
      </c>
      <c r="E316" s="114" t="s">
        <v>399</v>
      </c>
      <c r="F316" s="144"/>
      <c r="G316" s="112">
        <v>28208.3</v>
      </c>
      <c r="H316" s="112">
        <v>43365.2</v>
      </c>
      <c r="I316" s="49">
        <v>34103.199999999997</v>
      </c>
      <c r="J316" s="49">
        <f>37662+40501.3+1344.4</f>
        <v>79507.7</v>
      </c>
      <c r="K316" s="49">
        <v>50316.2</v>
      </c>
      <c r="L316" s="49">
        <v>50316.2</v>
      </c>
      <c r="M316" s="45"/>
    </row>
    <row r="317" spans="1:24" ht="48" x14ac:dyDescent="0.2">
      <c r="A317" s="116" t="s">
        <v>332</v>
      </c>
      <c r="B317" s="114" t="s">
        <v>396</v>
      </c>
      <c r="C317" s="114" t="s">
        <v>655</v>
      </c>
      <c r="D317" s="116" t="s">
        <v>332</v>
      </c>
      <c r="E317" s="138" t="s">
        <v>402</v>
      </c>
      <c r="F317" s="144"/>
      <c r="G317" s="112">
        <v>7754</v>
      </c>
      <c r="H317" s="112">
        <v>6561.6</v>
      </c>
      <c r="I317" s="49">
        <v>7723.5</v>
      </c>
      <c r="J317" s="49">
        <v>7821.3</v>
      </c>
      <c r="K317" s="49">
        <v>7821.3</v>
      </c>
      <c r="L317" s="49">
        <v>7821.3</v>
      </c>
      <c r="M317" s="45"/>
    </row>
    <row r="318" spans="1:24" ht="108" x14ac:dyDescent="0.2">
      <c r="A318" s="116" t="s">
        <v>332</v>
      </c>
      <c r="B318" s="114" t="s">
        <v>396</v>
      </c>
      <c r="C318" s="114" t="s">
        <v>867</v>
      </c>
      <c r="D318" s="116" t="s">
        <v>332</v>
      </c>
      <c r="E318" s="138" t="s">
        <v>623</v>
      </c>
      <c r="F318" s="144"/>
      <c r="G318" s="112">
        <v>475</v>
      </c>
      <c r="H318" s="112">
        <v>633.6</v>
      </c>
      <c r="I318" s="49">
        <v>475</v>
      </c>
      <c r="J318" s="49">
        <v>633.6</v>
      </c>
      <c r="K318" s="49">
        <v>633.6</v>
      </c>
      <c r="L318" s="49">
        <v>633.6</v>
      </c>
      <c r="M318" s="45"/>
    </row>
    <row r="319" spans="1:24" s="34" customFormat="1" ht="72" x14ac:dyDescent="0.2">
      <c r="A319" s="91"/>
      <c r="B319" s="91"/>
      <c r="C319" s="114" t="s">
        <v>654</v>
      </c>
      <c r="D319" s="116" t="s">
        <v>436</v>
      </c>
      <c r="E319" s="127"/>
      <c r="F319" s="144"/>
      <c r="G319" s="112">
        <f>G320</f>
        <v>23.4</v>
      </c>
      <c r="H319" s="112">
        <f>H320</f>
        <v>74.2</v>
      </c>
      <c r="I319" s="49">
        <f t="shared" ref="I319:L319" si="75">I320</f>
        <v>23.4</v>
      </c>
      <c r="J319" s="49">
        <f t="shared" si="75"/>
        <v>74.2</v>
      </c>
      <c r="K319" s="49">
        <f t="shared" si="75"/>
        <v>79.8</v>
      </c>
      <c r="L319" s="49">
        <f t="shared" si="75"/>
        <v>179.7</v>
      </c>
      <c r="M319" s="45"/>
      <c r="O319" s="35"/>
      <c r="P319" s="36"/>
      <c r="Q319" s="36"/>
      <c r="R319" s="37"/>
      <c r="S319" s="37"/>
      <c r="T319" s="37"/>
      <c r="U319" s="37"/>
      <c r="V319" s="37"/>
      <c r="W319" s="37"/>
      <c r="X319" s="37"/>
    </row>
    <row r="320" spans="1:24" s="34" customFormat="1" ht="70.5" customHeight="1" x14ac:dyDescent="0.2">
      <c r="A320" s="116" t="s">
        <v>436</v>
      </c>
      <c r="B320" s="114" t="s">
        <v>396</v>
      </c>
      <c r="C320" s="114" t="s">
        <v>653</v>
      </c>
      <c r="D320" s="116" t="s">
        <v>436</v>
      </c>
      <c r="E320" s="138" t="s">
        <v>402</v>
      </c>
      <c r="F320" s="144"/>
      <c r="G320" s="112">
        <v>23.4</v>
      </c>
      <c r="H320" s="112">
        <v>74.2</v>
      </c>
      <c r="I320" s="49">
        <v>23.4</v>
      </c>
      <c r="J320" s="49">
        <v>74.2</v>
      </c>
      <c r="K320" s="49">
        <v>79.8</v>
      </c>
      <c r="L320" s="49">
        <v>179.7</v>
      </c>
      <c r="M320" s="45"/>
      <c r="O320" s="35"/>
      <c r="P320" s="36"/>
      <c r="Q320" s="36"/>
      <c r="R320" s="37"/>
      <c r="S320" s="37"/>
      <c r="T320" s="37"/>
      <c r="U320" s="37"/>
      <c r="V320" s="37"/>
      <c r="W320" s="37"/>
      <c r="X320" s="37"/>
    </row>
    <row r="321" spans="1:24" s="34" customFormat="1" ht="36" hidden="1" x14ac:dyDescent="0.2">
      <c r="A321" s="46"/>
      <c r="B321" s="47"/>
      <c r="C321" s="47" t="s">
        <v>881</v>
      </c>
      <c r="D321" s="46" t="s">
        <v>880</v>
      </c>
      <c r="E321" s="65"/>
      <c r="F321" s="75"/>
      <c r="G321" s="105">
        <f>G322</f>
        <v>0</v>
      </c>
      <c r="H321" s="112">
        <f t="shared" ref="H321:L321" si="76">H322</f>
        <v>0</v>
      </c>
      <c r="I321" s="49">
        <f t="shared" si="76"/>
        <v>0</v>
      </c>
      <c r="J321" s="49">
        <f t="shared" si="76"/>
        <v>1074.3</v>
      </c>
      <c r="K321" s="49">
        <f t="shared" si="76"/>
        <v>0</v>
      </c>
      <c r="L321" s="49">
        <f t="shared" si="76"/>
        <v>0</v>
      </c>
      <c r="M321" s="45"/>
      <c r="O321" s="35"/>
      <c r="P321" s="36"/>
      <c r="Q321" s="36"/>
      <c r="R321" s="37"/>
      <c r="S321" s="37"/>
      <c r="T321" s="37"/>
      <c r="U321" s="37"/>
      <c r="V321" s="37"/>
      <c r="W321" s="37"/>
      <c r="X321" s="37"/>
    </row>
    <row r="322" spans="1:24" s="34" customFormat="1" ht="48" hidden="1" x14ac:dyDescent="0.2">
      <c r="A322" s="46" t="s">
        <v>880</v>
      </c>
      <c r="B322" s="47" t="s">
        <v>396</v>
      </c>
      <c r="C322" s="47" t="s">
        <v>882</v>
      </c>
      <c r="D322" s="46" t="s">
        <v>880</v>
      </c>
      <c r="E322" s="65" t="s">
        <v>402</v>
      </c>
      <c r="F322" s="75"/>
      <c r="G322" s="105">
        <v>0</v>
      </c>
      <c r="H322" s="112">
        <v>0</v>
      </c>
      <c r="I322" s="49">
        <v>0</v>
      </c>
      <c r="J322" s="49">
        <v>1074.3</v>
      </c>
      <c r="K322" s="49">
        <v>0</v>
      </c>
      <c r="L322" s="49">
        <v>0</v>
      </c>
      <c r="M322" s="45"/>
      <c r="O322" s="35"/>
      <c r="P322" s="36"/>
      <c r="Q322" s="36"/>
      <c r="R322" s="37"/>
      <c r="S322" s="37"/>
      <c r="T322" s="37"/>
      <c r="U322" s="37"/>
      <c r="V322" s="37"/>
      <c r="W322" s="37"/>
      <c r="X322" s="37"/>
    </row>
    <row r="323" spans="1:24" s="34" customFormat="1" ht="24" x14ac:dyDescent="0.2">
      <c r="A323" s="91"/>
      <c r="B323" s="91"/>
      <c r="C323" s="114" t="s">
        <v>652</v>
      </c>
      <c r="D323" s="116" t="s">
        <v>342</v>
      </c>
      <c r="E323" s="127"/>
      <c r="F323" s="144"/>
      <c r="G323" s="112">
        <f>G324</f>
        <v>1102042.3999999999</v>
      </c>
      <c r="H323" s="112">
        <f>H324</f>
        <v>813709.3</v>
      </c>
      <c r="I323" s="49">
        <f t="shared" ref="I323:L323" si="77">I324</f>
        <v>1100807.3999999999</v>
      </c>
      <c r="J323" s="49">
        <f t="shared" si="77"/>
        <v>1088415.2</v>
      </c>
      <c r="K323" s="49">
        <f t="shared" si="77"/>
        <v>1075356.3999999999</v>
      </c>
      <c r="L323" s="49">
        <f t="shared" si="77"/>
        <v>1075356.3999999999</v>
      </c>
      <c r="M323" s="45"/>
      <c r="O323" s="35"/>
      <c r="P323" s="36"/>
      <c r="Q323" s="36"/>
      <c r="R323" s="37"/>
      <c r="S323" s="37"/>
      <c r="T323" s="37"/>
      <c r="U323" s="37"/>
      <c r="V323" s="37"/>
      <c r="W323" s="37"/>
      <c r="X323" s="37"/>
    </row>
    <row r="324" spans="1:24" s="34" customFormat="1" ht="36" x14ac:dyDescent="0.2">
      <c r="A324" s="116" t="s">
        <v>342</v>
      </c>
      <c r="B324" s="114" t="s">
        <v>396</v>
      </c>
      <c r="C324" s="114" t="s">
        <v>651</v>
      </c>
      <c r="D324" s="116" t="s">
        <v>342</v>
      </c>
      <c r="E324" s="114" t="s">
        <v>399</v>
      </c>
      <c r="F324" s="144"/>
      <c r="G324" s="112">
        <v>1102042.3999999999</v>
      </c>
      <c r="H324" s="112">
        <v>813709.3</v>
      </c>
      <c r="I324" s="49">
        <v>1100807.3999999999</v>
      </c>
      <c r="J324" s="49">
        <f>769485.4+318929.8</f>
        <v>1088415.2</v>
      </c>
      <c r="K324" s="49">
        <v>1075356.3999999999</v>
      </c>
      <c r="L324" s="49">
        <v>1075356.3999999999</v>
      </c>
      <c r="M324" s="45"/>
      <c r="O324" s="35"/>
      <c r="P324" s="36"/>
      <c r="Q324" s="36"/>
      <c r="R324" s="37"/>
      <c r="S324" s="37"/>
      <c r="T324" s="37"/>
      <c r="U324" s="37"/>
      <c r="V324" s="37"/>
      <c r="W324" s="37"/>
      <c r="X324" s="37"/>
    </row>
    <row r="325" spans="1:24" s="34" customFormat="1" ht="12" x14ac:dyDescent="0.2">
      <c r="A325" s="91" t="s">
        <v>344</v>
      </c>
      <c r="B325" s="91"/>
      <c r="C325" s="127"/>
      <c r="D325" s="127"/>
      <c r="E325" s="127"/>
      <c r="F325" s="144">
        <f>10533314.47/1000</f>
        <v>10533.314470000001</v>
      </c>
      <c r="G325" s="121"/>
      <c r="H325" s="121"/>
      <c r="I325" s="64"/>
      <c r="J325" s="50"/>
      <c r="K325" s="50"/>
      <c r="L325" s="50"/>
      <c r="M325" s="51"/>
      <c r="O325" s="35"/>
      <c r="P325" s="36"/>
      <c r="Q325" s="36"/>
      <c r="R325" s="37"/>
      <c r="S325" s="37"/>
      <c r="T325" s="37"/>
      <c r="U325" s="37"/>
      <c r="V325" s="37"/>
      <c r="W325" s="37"/>
      <c r="X325" s="37"/>
    </row>
    <row r="326" spans="1:24" s="34" customFormat="1" ht="84" x14ac:dyDescent="0.2">
      <c r="A326" s="91"/>
      <c r="B326" s="91"/>
      <c r="C326" s="114" t="s">
        <v>650</v>
      </c>
      <c r="D326" s="116" t="s">
        <v>346</v>
      </c>
      <c r="E326" s="127"/>
      <c r="F326" s="144"/>
      <c r="G326" s="112">
        <v>12433</v>
      </c>
      <c r="H326" s="112">
        <f>H327+H328+H329+H330+H331</f>
        <v>11419.1</v>
      </c>
      <c r="I326" s="49">
        <f>I327+I328+I329+I330+I331</f>
        <v>12432.986000000001</v>
      </c>
      <c r="J326" s="49">
        <f>J327+J328+J329+J330+J331</f>
        <v>11689.6</v>
      </c>
      <c r="K326" s="49">
        <f t="shared" ref="K326:L326" si="78">K327+K328+K329+K330+K331</f>
        <v>11008.2</v>
      </c>
      <c r="L326" s="49">
        <f t="shared" si="78"/>
        <v>0</v>
      </c>
      <c r="M326" s="45"/>
      <c r="O326" s="35"/>
      <c r="P326" s="36"/>
      <c r="Q326" s="36"/>
      <c r="R326" s="37"/>
      <c r="S326" s="37"/>
      <c r="T326" s="37"/>
      <c r="U326" s="37"/>
      <c r="V326" s="37"/>
      <c r="W326" s="37"/>
      <c r="X326" s="37"/>
    </row>
    <row r="327" spans="1:24" s="34" customFormat="1" ht="84" x14ac:dyDescent="0.2">
      <c r="A327" s="116" t="s">
        <v>346</v>
      </c>
      <c r="B327" s="114" t="s">
        <v>396</v>
      </c>
      <c r="C327" s="114" t="s">
        <v>649</v>
      </c>
      <c r="D327" s="116" t="s">
        <v>346</v>
      </c>
      <c r="E327" s="138" t="s">
        <v>402</v>
      </c>
      <c r="F327" s="144"/>
      <c r="G327" s="112">
        <v>1340.6</v>
      </c>
      <c r="H327" s="112">
        <v>1288.0999999999999</v>
      </c>
      <c r="I327" s="49">
        <v>1340.6510000000001</v>
      </c>
      <c r="J327" s="49">
        <v>612.20000000000005</v>
      </c>
      <c r="K327" s="49">
        <v>0</v>
      </c>
      <c r="L327" s="49">
        <v>0</v>
      </c>
      <c r="M327" s="45"/>
      <c r="O327" s="35"/>
      <c r="P327" s="36"/>
      <c r="Q327" s="36"/>
      <c r="R327" s="37"/>
      <c r="S327" s="37"/>
      <c r="T327" s="37"/>
      <c r="U327" s="37"/>
      <c r="V327" s="37"/>
      <c r="W327" s="37"/>
      <c r="X327" s="37"/>
    </row>
    <row r="328" spans="1:24" s="34" customFormat="1" ht="84" x14ac:dyDescent="0.2">
      <c r="A328" s="116" t="s">
        <v>346</v>
      </c>
      <c r="B328" s="114" t="s">
        <v>396</v>
      </c>
      <c r="C328" s="114" t="s">
        <v>855</v>
      </c>
      <c r="D328" s="116" t="s">
        <v>346</v>
      </c>
      <c r="E328" s="138" t="s">
        <v>2</v>
      </c>
      <c r="F328" s="144"/>
      <c r="G328" s="112">
        <v>9478.2000000000007</v>
      </c>
      <c r="H328" s="112">
        <v>8138.1</v>
      </c>
      <c r="I328" s="49">
        <v>9478.2080000000005</v>
      </c>
      <c r="J328" s="49">
        <v>10206.700000000001</v>
      </c>
      <c r="K328" s="49">
        <v>10206.700000000001</v>
      </c>
      <c r="L328" s="49">
        <v>0</v>
      </c>
      <c r="M328" s="45"/>
      <c r="O328" s="35"/>
      <c r="P328" s="36"/>
      <c r="Q328" s="36"/>
      <c r="R328" s="37"/>
      <c r="S328" s="37"/>
      <c r="T328" s="37"/>
      <c r="U328" s="37"/>
      <c r="V328" s="37"/>
      <c r="W328" s="37"/>
      <c r="X328" s="37"/>
    </row>
    <row r="329" spans="1:24" s="34" customFormat="1" ht="108" x14ac:dyDescent="0.2">
      <c r="A329" s="116" t="s">
        <v>346</v>
      </c>
      <c r="B329" s="114" t="s">
        <v>396</v>
      </c>
      <c r="C329" s="114" t="s">
        <v>1232</v>
      </c>
      <c r="D329" s="116" t="s">
        <v>346</v>
      </c>
      <c r="E329" s="138" t="s">
        <v>623</v>
      </c>
      <c r="F329" s="144"/>
      <c r="G329" s="112">
        <v>189.4</v>
      </c>
      <c r="H329" s="112">
        <v>198.4</v>
      </c>
      <c r="I329" s="49">
        <v>189.36500000000001</v>
      </c>
      <c r="J329" s="49">
        <v>189.3</v>
      </c>
      <c r="K329" s="49">
        <v>189.3</v>
      </c>
      <c r="L329" s="49">
        <v>0</v>
      </c>
      <c r="M329" s="45"/>
      <c r="O329" s="35"/>
      <c r="P329" s="36"/>
      <c r="Q329" s="36"/>
      <c r="R329" s="37"/>
      <c r="S329" s="37"/>
      <c r="T329" s="37"/>
      <c r="U329" s="37"/>
      <c r="V329" s="37"/>
      <c r="W329" s="37"/>
      <c r="X329" s="37"/>
    </row>
    <row r="330" spans="1:24" s="34" customFormat="1" ht="84" x14ac:dyDescent="0.2">
      <c r="A330" s="116" t="s">
        <v>346</v>
      </c>
      <c r="B330" s="114" t="s">
        <v>396</v>
      </c>
      <c r="C330" s="114" t="s">
        <v>648</v>
      </c>
      <c r="D330" s="116" t="s">
        <v>346</v>
      </c>
      <c r="E330" s="114" t="s">
        <v>407</v>
      </c>
      <c r="F330" s="144"/>
      <c r="G330" s="112">
        <v>1424.8</v>
      </c>
      <c r="H330" s="112">
        <v>1500.9</v>
      </c>
      <c r="I330" s="49">
        <v>1424.7619999999999</v>
      </c>
      <c r="J330" s="49">
        <v>681.4</v>
      </c>
      <c r="K330" s="49">
        <v>612.20000000000005</v>
      </c>
      <c r="L330" s="49">
        <v>0</v>
      </c>
      <c r="M330" s="45"/>
      <c r="O330" s="35"/>
      <c r="P330" s="36"/>
      <c r="Q330" s="36"/>
      <c r="R330" s="37"/>
      <c r="S330" s="37"/>
      <c r="T330" s="37"/>
      <c r="U330" s="37"/>
      <c r="V330" s="37"/>
      <c r="W330" s="37"/>
      <c r="X330" s="37"/>
    </row>
    <row r="331" spans="1:24" s="34" customFormat="1" ht="96" x14ac:dyDescent="0.2">
      <c r="A331" s="116" t="s">
        <v>346</v>
      </c>
      <c r="B331" s="114" t="s">
        <v>396</v>
      </c>
      <c r="C331" s="114" t="s">
        <v>647</v>
      </c>
      <c r="D331" s="116" t="s">
        <v>346</v>
      </c>
      <c r="E331" s="114" t="s">
        <v>414</v>
      </c>
      <c r="F331" s="144"/>
      <c r="G331" s="112">
        <v>0</v>
      </c>
      <c r="H331" s="112">
        <v>293.60000000000002</v>
      </c>
      <c r="I331" s="49">
        <v>0</v>
      </c>
      <c r="J331" s="49">
        <v>0</v>
      </c>
      <c r="K331" s="49">
        <v>0</v>
      </c>
      <c r="L331" s="49">
        <v>0</v>
      </c>
      <c r="M331" s="45"/>
      <c r="O331" s="35"/>
      <c r="P331" s="36"/>
      <c r="Q331" s="36"/>
      <c r="R331" s="37"/>
      <c r="S331" s="37"/>
      <c r="T331" s="37"/>
      <c r="U331" s="37"/>
      <c r="V331" s="37"/>
      <c r="W331" s="37"/>
      <c r="X331" s="37"/>
    </row>
    <row r="332" spans="1:24" s="34" customFormat="1" ht="36" x14ac:dyDescent="0.2">
      <c r="A332" s="116"/>
      <c r="B332" s="114"/>
      <c r="C332" s="114" t="s">
        <v>869</v>
      </c>
      <c r="D332" s="116" t="s">
        <v>815</v>
      </c>
      <c r="E332" s="114"/>
      <c r="F332" s="144"/>
      <c r="G332" s="112">
        <f>G333</f>
        <v>29725.9</v>
      </c>
      <c r="H332" s="112">
        <f>H333+H334</f>
        <v>25250.7</v>
      </c>
      <c r="I332" s="49">
        <f t="shared" ref="I332:L332" si="79">I333</f>
        <v>75040.899999999994</v>
      </c>
      <c r="J332" s="49">
        <f t="shared" si="79"/>
        <v>0</v>
      </c>
      <c r="K332" s="49">
        <f t="shared" si="79"/>
        <v>0</v>
      </c>
      <c r="L332" s="49">
        <f t="shared" si="79"/>
        <v>0</v>
      </c>
      <c r="M332" s="45"/>
      <c r="O332" s="35"/>
      <c r="P332" s="36"/>
      <c r="Q332" s="36"/>
      <c r="R332" s="37"/>
      <c r="S332" s="37"/>
      <c r="T332" s="37"/>
      <c r="U332" s="37"/>
      <c r="V332" s="37"/>
      <c r="W332" s="37"/>
      <c r="X332" s="37"/>
    </row>
    <row r="333" spans="1:24" s="34" customFormat="1" ht="36" x14ac:dyDescent="0.2">
      <c r="A333" s="116" t="s">
        <v>815</v>
      </c>
      <c r="B333" s="114" t="s">
        <v>396</v>
      </c>
      <c r="C333" s="114" t="s">
        <v>868</v>
      </c>
      <c r="D333" s="116" t="s">
        <v>815</v>
      </c>
      <c r="E333" s="114" t="s">
        <v>2</v>
      </c>
      <c r="F333" s="144"/>
      <c r="G333" s="112">
        <v>29725.9</v>
      </c>
      <c r="H333" s="112">
        <v>15602.7</v>
      </c>
      <c r="I333" s="49">
        <v>75040.899999999994</v>
      </c>
      <c r="J333" s="49">
        <v>0</v>
      </c>
      <c r="K333" s="49">
        <v>0</v>
      </c>
      <c r="L333" s="49">
        <v>0</v>
      </c>
      <c r="M333" s="45"/>
      <c r="O333" s="35"/>
      <c r="P333" s="36"/>
      <c r="Q333" s="36"/>
      <c r="R333" s="37"/>
      <c r="S333" s="37"/>
      <c r="T333" s="37"/>
      <c r="U333" s="37"/>
      <c r="V333" s="37"/>
      <c r="W333" s="37"/>
      <c r="X333" s="37"/>
    </row>
    <row r="334" spans="1:24" s="34" customFormat="1" ht="108" x14ac:dyDescent="0.2">
      <c r="A334" s="116" t="s">
        <v>815</v>
      </c>
      <c r="B334" s="114" t="s">
        <v>396</v>
      </c>
      <c r="C334" s="114" t="s">
        <v>1011</v>
      </c>
      <c r="D334" s="116" t="s">
        <v>815</v>
      </c>
      <c r="E334" s="114" t="s">
        <v>623</v>
      </c>
      <c r="F334" s="144"/>
      <c r="G334" s="112">
        <v>0</v>
      </c>
      <c r="H334" s="112">
        <v>9648</v>
      </c>
      <c r="I334" s="49"/>
      <c r="J334" s="49"/>
      <c r="K334" s="49"/>
      <c r="L334" s="49"/>
      <c r="M334" s="45"/>
      <c r="O334" s="35"/>
      <c r="P334" s="36"/>
      <c r="Q334" s="36"/>
      <c r="R334" s="37"/>
      <c r="S334" s="37"/>
      <c r="T334" s="37"/>
      <c r="U334" s="37"/>
      <c r="V334" s="37"/>
      <c r="W334" s="37"/>
      <c r="X334" s="37"/>
    </row>
    <row r="335" spans="1:24" s="34" customFormat="1" ht="24" x14ac:dyDescent="0.2">
      <c r="A335" s="91" t="s">
        <v>351</v>
      </c>
      <c r="B335" s="91"/>
      <c r="C335" s="127"/>
      <c r="D335" s="127"/>
      <c r="E335" s="127"/>
      <c r="F335" s="128"/>
      <c r="G335" s="121"/>
      <c r="H335" s="121"/>
      <c r="I335" s="64"/>
      <c r="J335" s="64"/>
      <c r="K335" s="64"/>
      <c r="L335" s="64"/>
      <c r="M335" s="51"/>
      <c r="O335" s="35"/>
      <c r="P335" s="36"/>
      <c r="Q335" s="36"/>
      <c r="R335" s="37"/>
      <c r="S335" s="37"/>
      <c r="T335" s="37"/>
      <c r="U335" s="37"/>
      <c r="V335" s="37"/>
      <c r="W335" s="37"/>
      <c r="X335" s="37"/>
    </row>
    <row r="336" spans="1:24" s="34" customFormat="1" ht="60" x14ac:dyDescent="0.2">
      <c r="A336" s="91"/>
      <c r="B336" s="91"/>
      <c r="C336" s="114" t="s">
        <v>646</v>
      </c>
      <c r="D336" s="116" t="s">
        <v>352</v>
      </c>
      <c r="E336" s="127"/>
      <c r="F336" s="144">
        <f>57406.21/1000</f>
        <v>57.406210000000002</v>
      </c>
      <c r="G336" s="112">
        <f>G337</f>
        <v>0.3</v>
      </c>
      <c r="H336" s="112">
        <f t="shared" ref="H336:L336" si="80">H337</f>
        <v>0</v>
      </c>
      <c r="I336" s="49">
        <f t="shared" si="80"/>
        <v>0.3</v>
      </c>
      <c r="J336" s="49">
        <f t="shared" si="80"/>
        <v>0</v>
      </c>
      <c r="K336" s="49">
        <f t="shared" si="80"/>
        <v>0</v>
      </c>
      <c r="L336" s="49">
        <f t="shared" si="80"/>
        <v>0</v>
      </c>
      <c r="M336" s="45"/>
      <c r="O336" s="35"/>
      <c r="P336" s="36"/>
      <c r="Q336" s="36"/>
      <c r="R336" s="37"/>
      <c r="S336" s="37"/>
      <c r="T336" s="37"/>
      <c r="U336" s="37"/>
      <c r="V336" s="37"/>
      <c r="W336" s="37"/>
      <c r="X336" s="37"/>
    </row>
    <row r="337" spans="1:24" s="34" customFormat="1" ht="53.25" customHeight="1" x14ac:dyDescent="0.2">
      <c r="A337" s="116" t="s">
        <v>352</v>
      </c>
      <c r="B337" s="114" t="s">
        <v>396</v>
      </c>
      <c r="C337" s="114" t="s">
        <v>645</v>
      </c>
      <c r="D337" s="116" t="s">
        <v>352</v>
      </c>
      <c r="E337" s="114" t="s">
        <v>399</v>
      </c>
      <c r="F337" s="144">
        <f>57406.21/1000</f>
        <v>57.406210000000002</v>
      </c>
      <c r="G337" s="112">
        <v>0.3</v>
      </c>
      <c r="H337" s="118">
        <v>0</v>
      </c>
      <c r="I337" s="49">
        <v>0.3</v>
      </c>
      <c r="J337" s="49">
        <v>0</v>
      </c>
      <c r="K337" s="49">
        <v>0</v>
      </c>
      <c r="L337" s="49">
        <v>0</v>
      </c>
      <c r="M337" s="45"/>
      <c r="O337" s="35"/>
      <c r="P337" s="36"/>
      <c r="Q337" s="36"/>
      <c r="R337" s="37"/>
      <c r="S337" s="37"/>
      <c r="T337" s="37"/>
      <c r="U337" s="37"/>
      <c r="V337" s="37"/>
      <c r="W337" s="37"/>
      <c r="X337" s="37"/>
    </row>
    <row r="338" spans="1:24" s="34" customFormat="1" ht="33.75" customHeight="1" x14ac:dyDescent="0.2">
      <c r="A338" s="116"/>
      <c r="B338" s="114"/>
      <c r="C338" s="114"/>
      <c r="D338" s="116" t="s">
        <v>351</v>
      </c>
      <c r="E338" s="114"/>
      <c r="F338" s="144"/>
      <c r="G338" s="112">
        <v>2523.9</v>
      </c>
      <c r="H338" s="118">
        <f>H339+H340</f>
        <v>153.19999999999999</v>
      </c>
      <c r="I338" s="49">
        <f>I339+I340+I341</f>
        <v>2526.3200000000002</v>
      </c>
      <c r="J338" s="49">
        <f t="shared" ref="J338:L338" si="81">J339+J340+J341</f>
        <v>0</v>
      </c>
      <c r="K338" s="49">
        <f t="shared" si="81"/>
        <v>0</v>
      </c>
      <c r="L338" s="49">
        <f t="shared" si="81"/>
        <v>0</v>
      </c>
      <c r="M338" s="45"/>
      <c r="O338" s="35"/>
      <c r="P338" s="36"/>
      <c r="Q338" s="36"/>
      <c r="R338" s="37"/>
      <c r="S338" s="37"/>
      <c r="T338" s="37"/>
      <c r="U338" s="37"/>
      <c r="V338" s="37"/>
      <c r="W338" s="37"/>
      <c r="X338" s="37"/>
    </row>
    <row r="339" spans="1:24" s="34" customFormat="1" ht="48" x14ac:dyDescent="0.2">
      <c r="A339" s="116" t="s">
        <v>351</v>
      </c>
      <c r="B339" s="114" t="s">
        <v>396</v>
      </c>
      <c r="C339" s="114" t="s">
        <v>1220</v>
      </c>
      <c r="D339" s="116" t="s">
        <v>351</v>
      </c>
      <c r="E339" s="114" t="s">
        <v>624</v>
      </c>
      <c r="F339" s="144"/>
      <c r="G339" s="112">
        <v>10</v>
      </c>
      <c r="H339" s="118">
        <v>0</v>
      </c>
      <c r="I339" s="49">
        <v>10</v>
      </c>
      <c r="J339" s="49">
        <v>0</v>
      </c>
      <c r="K339" s="49">
        <v>0</v>
      </c>
      <c r="L339" s="49">
        <v>0</v>
      </c>
      <c r="M339" s="45"/>
      <c r="O339" s="35"/>
      <c r="P339" s="36"/>
      <c r="Q339" s="36"/>
      <c r="R339" s="37"/>
      <c r="S339" s="37"/>
      <c r="T339" s="37"/>
      <c r="U339" s="37"/>
      <c r="V339" s="37"/>
      <c r="W339" s="37"/>
      <c r="X339" s="37"/>
    </row>
    <row r="340" spans="1:24" s="34" customFormat="1" ht="36" x14ac:dyDescent="0.2">
      <c r="A340" s="116" t="s">
        <v>351</v>
      </c>
      <c r="B340" s="114" t="s">
        <v>396</v>
      </c>
      <c r="C340" s="114" t="s">
        <v>1221</v>
      </c>
      <c r="D340" s="116" t="s">
        <v>351</v>
      </c>
      <c r="E340" s="114" t="s">
        <v>399</v>
      </c>
      <c r="F340" s="144"/>
      <c r="G340" s="112">
        <v>42.1</v>
      </c>
      <c r="H340" s="118">
        <v>153.19999999999999</v>
      </c>
      <c r="I340" s="49">
        <v>44.5</v>
      </c>
      <c r="J340" s="49">
        <v>0</v>
      </c>
      <c r="K340" s="49">
        <v>0</v>
      </c>
      <c r="L340" s="49">
        <v>0</v>
      </c>
      <c r="M340" s="45"/>
      <c r="O340" s="35"/>
      <c r="P340" s="36"/>
      <c r="Q340" s="36"/>
      <c r="R340" s="37"/>
      <c r="S340" s="37"/>
      <c r="T340" s="37"/>
      <c r="U340" s="37"/>
      <c r="V340" s="37"/>
      <c r="W340" s="37"/>
      <c r="X340" s="37"/>
    </row>
    <row r="341" spans="1:24" s="34" customFormat="1" ht="108" x14ac:dyDescent="0.2">
      <c r="A341" s="116" t="s">
        <v>351</v>
      </c>
      <c r="B341" s="114" t="s">
        <v>396</v>
      </c>
      <c r="C341" s="114" t="s">
        <v>1222</v>
      </c>
      <c r="D341" s="116" t="s">
        <v>351</v>
      </c>
      <c r="E341" s="114" t="s">
        <v>623</v>
      </c>
      <c r="F341" s="144"/>
      <c r="G341" s="112">
        <v>2471.8000000000002</v>
      </c>
      <c r="H341" s="118">
        <v>0</v>
      </c>
      <c r="I341" s="49">
        <v>2471.8200000000002</v>
      </c>
      <c r="J341" s="49">
        <v>0</v>
      </c>
      <c r="K341" s="49">
        <v>0</v>
      </c>
      <c r="L341" s="49">
        <v>0</v>
      </c>
      <c r="M341" s="45"/>
      <c r="O341" s="35"/>
      <c r="P341" s="36"/>
      <c r="Q341" s="36"/>
      <c r="R341" s="37"/>
      <c r="S341" s="37"/>
      <c r="T341" s="37"/>
      <c r="U341" s="37"/>
      <c r="V341" s="37"/>
      <c r="W341" s="37"/>
      <c r="X341" s="37"/>
    </row>
    <row r="342" spans="1:24" s="34" customFormat="1" ht="120" x14ac:dyDescent="0.2">
      <c r="A342" s="191" t="s">
        <v>1012</v>
      </c>
      <c r="B342" s="114"/>
      <c r="C342" s="114"/>
      <c r="D342" s="116"/>
      <c r="E342" s="114"/>
      <c r="F342" s="144"/>
      <c r="G342" s="112"/>
      <c r="H342" s="118"/>
      <c r="I342" s="49"/>
      <c r="J342" s="49"/>
      <c r="K342" s="49"/>
      <c r="L342" s="49"/>
      <c r="M342" s="45"/>
      <c r="O342" s="35"/>
      <c r="P342" s="36"/>
      <c r="Q342" s="36"/>
      <c r="R342" s="37"/>
      <c r="S342" s="37"/>
      <c r="T342" s="37"/>
      <c r="U342" s="37"/>
      <c r="V342" s="37"/>
      <c r="W342" s="37"/>
      <c r="X342" s="37"/>
    </row>
    <row r="343" spans="1:24" s="34" customFormat="1" ht="36" x14ac:dyDescent="0.2">
      <c r="A343" s="116"/>
      <c r="B343" s="114"/>
      <c r="C343" s="186" t="s">
        <v>1014</v>
      </c>
      <c r="D343" s="192" t="s">
        <v>1013</v>
      </c>
      <c r="E343" s="114"/>
      <c r="F343" s="144"/>
      <c r="G343" s="112">
        <v>0</v>
      </c>
      <c r="H343" s="118">
        <f>H344</f>
        <v>649</v>
      </c>
      <c r="I343" s="49"/>
      <c r="J343" s="49"/>
      <c r="K343" s="49"/>
      <c r="L343" s="49"/>
      <c r="M343" s="45"/>
      <c r="O343" s="35"/>
      <c r="P343" s="36"/>
      <c r="Q343" s="36"/>
      <c r="R343" s="37"/>
      <c r="S343" s="37"/>
      <c r="T343" s="37"/>
      <c r="U343" s="37"/>
      <c r="V343" s="37"/>
      <c r="W343" s="37"/>
      <c r="X343" s="37"/>
    </row>
    <row r="344" spans="1:24" s="34" customFormat="1" ht="51.75" customHeight="1" x14ac:dyDescent="0.2">
      <c r="A344" s="192" t="s">
        <v>1013</v>
      </c>
      <c r="B344" s="114" t="s">
        <v>396</v>
      </c>
      <c r="C344" s="186" t="s">
        <v>1015</v>
      </c>
      <c r="D344" s="192" t="s">
        <v>1013</v>
      </c>
      <c r="E344" s="114" t="s">
        <v>624</v>
      </c>
      <c r="F344" s="144"/>
      <c r="G344" s="112">
        <v>0</v>
      </c>
      <c r="H344" s="118">
        <v>649</v>
      </c>
      <c r="I344" s="49"/>
      <c r="J344" s="49"/>
      <c r="K344" s="49"/>
      <c r="L344" s="49"/>
      <c r="M344" s="45"/>
      <c r="O344" s="35"/>
      <c r="P344" s="36"/>
      <c r="Q344" s="36"/>
      <c r="R344" s="37"/>
      <c r="S344" s="37"/>
      <c r="T344" s="37"/>
      <c r="U344" s="37"/>
      <c r="V344" s="37"/>
      <c r="W344" s="37"/>
      <c r="X344" s="37"/>
    </row>
    <row r="345" spans="1:24" s="34" customFormat="1" ht="75" customHeight="1" x14ac:dyDescent="0.2">
      <c r="A345" s="192"/>
      <c r="B345" s="114"/>
      <c r="C345" s="186" t="s">
        <v>1017</v>
      </c>
      <c r="D345" s="192" t="s">
        <v>1016</v>
      </c>
      <c r="E345" s="114"/>
      <c r="F345" s="144"/>
      <c r="G345" s="112">
        <v>0</v>
      </c>
      <c r="H345" s="118">
        <f>H346</f>
        <v>31.2</v>
      </c>
      <c r="I345" s="49"/>
      <c r="J345" s="49"/>
      <c r="K345" s="49"/>
      <c r="L345" s="49"/>
      <c r="M345" s="45"/>
      <c r="O345" s="35"/>
      <c r="P345" s="36"/>
      <c r="Q345" s="36"/>
      <c r="R345" s="37"/>
      <c r="S345" s="37"/>
      <c r="T345" s="37"/>
      <c r="U345" s="37"/>
      <c r="V345" s="37"/>
      <c r="W345" s="37"/>
      <c r="X345" s="37"/>
    </row>
    <row r="346" spans="1:24" s="34" customFormat="1" ht="73.5" customHeight="1" x14ac:dyDescent="0.2">
      <c r="A346" s="192" t="s">
        <v>1016</v>
      </c>
      <c r="B346" s="114" t="s">
        <v>396</v>
      </c>
      <c r="C346" s="186" t="s">
        <v>1018</v>
      </c>
      <c r="D346" s="192" t="s">
        <v>1016</v>
      </c>
      <c r="E346" s="138" t="s">
        <v>2</v>
      </c>
      <c r="F346" s="144"/>
      <c r="G346" s="112">
        <v>0</v>
      </c>
      <c r="H346" s="118">
        <v>31.2</v>
      </c>
      <c r="I346" s="49"/>
      <c r="J346" s="49"/>
      <c r="K346" s="49"/>
      <c r="L346" s="49"/>
      <c r="M346" s="45"/>
      <c r="O346" s="35"/>
      <c r="P346" s="36"/>
      <c r="Q346" s="36"/>
      <c r="R346" s="37"/>
      <c r="S346" s="37"/>
      <c r="T346" s="37"/>
      <c r="U346" s="37"/>
      <c r="V346" s="37"/>
      <c r="W346" s="37"/>
      <c r="X346" s="37"/>
    </row>
    <row r="347" spans="1:24" s="34" customFormat="1" ht="57.75" customHeight="1" x14ac:dyDescent="0.2">
      <c r="A347" s="183" t="s">
        <v>1019</v>
      </c>
      <c r="B347" s="114"/>
      <c r="C347" s="186"/>
      <c r="D347" s="192"/>
      <c r="E347" s="138"/>
      <c r="F347" s="144"/>
      <c r="G347" s="112"/>
      <c r="H347" s="118"/>
      <c r="I347" s="49"/>
      <c r="J347" s="49"/>
      <c r="K347" s="49"/>
      <c r="L347" s="49"/>
      <c r="M347" s="45"/>
      <c r="O347" s="35"/>
      <c r="P347" s="36"/>
      <c r="Q347" s="36"/>
      <c r="R347" s="37"/>
      <c r="S347" s="37"/>
      <c r="T347" s="37"/>
      <c r="U347" s="37"/>
      <c r="V347" s="37"/>
      <c r="W347" s="37"/>
      <c r="X347" s="37"/>
    </row>
    <row r="348" spans="1:24" s="34" customFormat="1" ht="73.5" customHeight="1" x14ac:dyDescent="0.2">
      <c r="A348" s="192"/>
      <c r="B348" s="114"/>
      <c r="C348" s="186" t="s">
        <v>1020</v>
      </c>
      <c r="D348" s="192" t="s">
        <v>1019</v>
      </c>
      <c r="E348" s="138"/>
      <c r="F348" s="144"/>
      <c r="G348" s="112">
        <v>0</v>
      </c>
      <c r="H348" s="118">
        <f>H349</f>
        <v>-494.2</v>
      </c>
      <c r="I348" s="49"/>
      <c r="J348" s="49"/>
      <c r="K348" s="49"/>
      <c r="L348" s="49"/>
      <c r="M348" s="45"/>
      <c r="O348" s="35"/>
      <c r="P348" s="36"/>
      <c r="Q348" s="36"/>
      <c r="R348" s="37"/>
      <c r="S348" s="37"/>
      <c r="T348" s="37"/>
      <c r="U348" s="37"/>
      <c r="V348" s="37"/>
      <c r="W348" s="37"/>
      <c r="X348" s="37"/>
    </row>
    <row r="349" spans="1:24" s="34" customFormat="1" ht="73.5" customHeight="1" x14ac:dyDescent="0.2">
      <c r="A349" s="192" t="s">
        <v>1019</v>
      </c>
      <c r="B349" s="114" t="s">
        <v>396</v>
      </c>
      <c r="C349" s="186" t="s">
        <v>1021</v>
      </c>
      <c r="D349" s="192" t="s">
        <v>1019</v>
      </c>
      <c r="E349" s="114" t="s">
        <v>624</v>
      </c>
      <c r="F349" s="144"/>
      <c r="G349" s="112">
        <v>0</v>
      </c>
      <c r="H349" s="118">
        <v>-494.2</v>
      </c>
      <c r="I349" s="49"/>
      <c r="J349" s="49"/>
      <c r="K349" s="49"/>
      <c r="L349" s="49"/>
      <c r="M349" s="45"/>
      <c r="O349" s="35"/>
      <c r="P349" s="36"/>
      <c r="Q349" s="36"/>
      <c r="R349" s="37"/>
      <c r="S349" s="37"/>
      <c r="T349" s="37"/>
      <c r="U349" s="37"/>
      <c r="V349" s="37"/>
      <c r="W349" s="37"/>
      <c r="X349" s="37"/>
    </row>
    <row r="350" spans="1:24" s="34" customFormat="1" ht="90" customHeight="1" x14ac:dyDescent="0.2">
      <c r="A350" s="183" t="s">
        <v>1022</v>
      </c>
      <c r="B350" s="114"/>
      <c r="C350" s="186"/>
      <c r="D350" s="192"/>
      <c r="E350" s="114"/>
      <c r="F350" s="144"/>
      <c r="G350" s="112"/>
      <c r="H350" s="118"/>
      <c r="I350" s="49"/>
      <c r="J350" s="49"/>
      <c r="K350" s="49"/>
      <c r="L350" s="49"/>
      <c r="M350" s="45"/>
      <c r="O350" s="35"/>
      <c r="P350" s="36"/>
      <c r="Q350" s="36"/>
      <c r="R350" s="37"/>
      <c r="S350" s="37"/>
      <c r="T350" s="37"/>
      <c r="U350" s="37"/>
      <c r="V350" s="37"/>
      <c r="W350" s="37"/>
      <c r="X350" s="37"/>
    </row>
    <row r="351" spans="1:24" s="34" customFormat="1" ht="92.25" customHeight="1" x14ac:dyDescent="0.2">
      <c r="A351" s="192"/>
      <c r="B351" s="114"/>
      <c r="C351" s="186" t="s">
        <v>1023</v>
      </c>
      <c r="D351" s="192" t="s">
        <v>1022</v>
      </c>
      <c r="E351" s="114"/>
      <c r="F351" s="144"/>
      <c r="G351" s="112">
        <v>0</v>
      </c>
      <c r="H351" s="118">
        <f>H352</f>
        <v>-1.2</v>
      </c>
      <c r="I351" s="49"/>
      <c r="J351" s="49"/>
      <c r="K351" s="49"/>
      <c r="L351" s="49"/>
      <c r="M351" s="45"/>
      <c r="O351" s="35"/>
      <c r="P351" s="36"/>
      <c r="Q351" s="36"/>
      <c r="R351" s="37"/>
      <c r="S351" s="37"/>
      <c r="T351" s="37"/>
      <c r="U351" s="37"/>
      <c r="V351" s="37"/>
      <c r="W351" s="37"/>
      <c r="X351" s="37"/>
    </row>
    <row r="352" spans="1:24" s="34" customFormat="1" ht="85.5" customHeight="1" x14ac:dyDescent="0.2">
      <c r="A352" s="192" t="s">
        <v>1022</v>
      </c>
      <c r="B352" s="114"/>
      <c r="C352" s="186" t="s">
        <v>1024</v>
      </c>
      <c r="D352" s="192" t="s">
        <v>1022</v>
      </c>
      <c r="E352" s="138" t="s">
        <v>402</v>
      </c>
      <c r="F352" s="144"/>
      <c r="G352" s="112">
        <v>0</v>
      </c>
      <c r="H352" s="118">
        <v>-1.2</v>
      </c>
      <c r="I352" s="49"/>
      <c r="J352" s="49"/>
      <c r="K352" s="49"/>
      <c r="L352" s="49"/>
      <c r="M352" s="45"/>
      <c r="O352" s="35"/>
      <c r="P352" s="36"/>
      <c r="Q352" s="36"/>
      <c r="R352" s="37"/>
      <c r="S352" s="37"/>
      <c r="T352" s="37"/>
      <c r="U352" s="37"/>
      <c r="V352" s="37"/>
      <c r="W352" s="37"/>
      <c r="X352" s="37"/>
    </row>
    <row r="353" spans="1:24" s="34" customFormat="1" ht="60" x14ac:dyDescent="0.2">
      <c r="A353" s="91" t="s">
        <v>355</v>
      </c>
      <c r="B353" s="91"/>
      <c r="C353" s="127"/>
      <c r="D353" s="127"/>
      <c r="E353" s="127"/>
      <c r="F353" s="144">
        <f>-1254402.66/1000</f>
        <v>-1254.40266</v>
      </c>
      <c r="G353" s="121"/>
      <c r="H353" s="121"/>
      <c r="I353" s="64"/>
      <c r="J353" s="64"/>
      <c r="K353" s="64"/>
      <c r="L353" s="64"/>
      <c r="M353" s="51"/>
      <c r="O353" s="35"/>
      <c r="P353" s="36"/>
      <c r="Q353" s="36"/>
      <c r="R353" s="37"/>
      <c r="S353" s="37"/>
      <c r="T353" s="37"/>
      <c r="U353" s="37"/>
      <c r="V353" s="37"/>
      <c r="W353" s="37"/>
      <c r="X353" s="37"/>
    </row>
    <row r="354" spans="1:24" s="34" customFormat="1" ht="57.75" customHeight="1" x14ac:dyDescent="0.2">
      <c r="A354" s="91"/>
      <c r="B354" s="91"/>
      <c r="C354" s="114" t="s">
        <v>644</v>
      </c>
      <c r="D354" s="116" t="s">
        <v>433</v>
      </c>
      <c r="E354" s="127"/>
      <c r="F354" s="144"/>
      <c r="G354" s="149">
        <v>-8335.2000000000007</v>
      </c>
      <c r="H354" s="149">
        <f>H356+H357+H358+H359+H360+H361+H362</f>
        <v>-3685.9</v>
      </c>
      <c r="I354" s="49">
        <f>I356+I357+I358+I359+I361+I360+I362</f>
        <v>-7931.1689999999999</v>
      </c>
      <c r="J354" s="49">
        <v>0</v>
      </c>
      <c r="K354" s="49">
        <v>0</v>
      </c>
      <c r="L354" s="49">
        <v>0</v>
      </c>
      <c r="M354" s="45"/>
      <c r="O354" s="35"/>
      <c r="P354" s="36"/>
      <c r="Q354" s="36"/>
      <c r="R354" s="37"/>
      <c r="S354" s="37"/>
      <c r="T354" s="37"/>
      <c r="U354" s="37"/>
      <c r="V354" s="37"/>
      <c r="W354" s="37"/>
      <c r="X354" s="37"/>
    </row>
    <row r="355" spans="1:24" s="34" customFormat="1" ht="60" hidden="1" x14ac:dyDescent="0.2">
      <c r="A355" s="116" t="s">
        <v>433</v>
      </c>
      <c r="B355" s="114" t="s">
        <v>396</v>
      </c>
      <c r="C355" s="114" t="s">
        <v>856</v>
      </c>
      <c r="D355" s="116" t="s">
        <v>433</v>
      </c>
      <c r="E355" s="114" t="s">
        <v>624</v>
      </c>
      <c r="F355" s="144"/>
      <c r="G355" s="112"/>
      <c r="H355" s="112">
        <v>0</v>
      </c>
      <c r="I355" s="49">
        <v>0</v>
      </c>
      <c r="J355" s="49">
        <v>0</v>
      </c>
      <c r="K355" s="49">
        <v>0</v>
      </c>
      <c r="L355" s="49">
        <v>0</v>
      </c>
      <c r="M355" s="45"/>
      <c r="O355" s="35"/>
      <c r="P355" s="36"/>
      <c r="Q355" s="36"/>
      <c r="R355" s="37"/>
      <c r="S355" s="37"/>
      <c r="T355" s="37"/>
      <c r="U355" s="37"/>
      <c r="V355" s="37"/>
      <c r="W355" s="37"/>
      <c r="X355" s="37"/>
    </row>
    <row r="356" spans="1:24" s="34" customFormat="1" ht="60" x14ac:dyDescent="0.2">
      <c r="A356" s="116" t="s">
        <v>433</v>
      </c>
      <c r="B356" s="114" t="s">
        <v>396</v>
      </c>
      <c r="C356" s="114" t="s">
        <v>643</v>
      </c>
      <c r="D356" s="116" t="s">
        <v>433</v>
      </c>
      <c r="E356" s="114" t="s">
        <v>399</v>
      </c>
      <c r="F356" s="144"/>
      <c r="G356" s="112">
        <v>-6974.9</v>
      </c>
      <c r="H356" s="112">
        <v>-2975.2</v>
      </c>
      <c r="I356" s="49">
        <v>-6570.8770000000004</v>
      </c>
      <c r="J356" s="49">
        <v>0</v>
      </c>
      <c r="K356" s="49">
        <v>0</v>
      </c>
      <c r="L356" s="49">
        <v>0</v>
      </c>
      <c r="M356" s="45"/>
      <c r="O356" s="35"/>
      <c r="P356" s="36"/>
      <c r="Q356" s="36"/>
      <c r="R356" s="37"/>
      <c r="S356" s="37"/>
      <c r="T356" s="37"/>
      <c r="U356" s="37"/>
      <c r="V356" s="37"/>
      <c r="W356" s="37"/>
      <c r="X356" s="37"/>
    </row>
    <row r="357" spans="1:24" s="34" customFormat="1" ht="60" x14ac:dyDescent="0.2">
      <c r="A357" s="116" t="s">
        <v>433</v>
      </c>
      <c r="B357" s="114" t="s">
        <v>396</v>
      </c>
      <c r="C357" s="114" t="s">
        <v>642</v>
      </c>
      <c r="D357" s="116" t="s">
        <v>433</v>
      </c>
      <c r="E357" s="138" t="s">
        <v>402</v>
      </c>
      <c r="F357" s="144"/>
      <c r="G357" s="112">
        <v>-444.6</v>
      </c>
      <c r="H357" s="112">
        <v>-74.900000000000006</v>
      </c>
      <c r="I357" s="49">
        <v>-444.61399999999998</v>
      </c>
      <c r="J357" s="49">
        <v>0</v>
      </c>
      <c r="K357" s="49">
        <v>0</v>
      </c>
      <c r="L357" s="49">
        <v>0</v>
      </c>
      <c r="M357" s="45"/>
      <c r="O357" s="35"/>
      <c r="P357" s="36"/>
      <c r="Q357" s="36"/>
      <c r="R357" s="37"/>
      <c r="S357" s="37"/>
      <c r="T357" s="37"/>
      <c r="U357" s="37"/>
      <c r="V357" s="37"/>
      <c r="W357" s="37"/>
      <c r="X357" s="37"/>
    </row>
    <row r="358" spans="1:24" s="34" customFormat="1" ht="84" x14ac:dyDescent="0.2">
      <c r="A358" s="116" t="s">
        <v>433</v>
      </c>
      <c r="B358" s="114" t="s">
        <v>396</v>
      </c>
      <c r="C358" s="114" t="s">
        <v>641</v>
      </c>
      <c r="D358" s="116" t="s">
        <v>433</v>
      </c>
      <c r="E358" s="138" t="s">
        <v>413</v>
      </c>
      <c r="F358" s="144"/>
      <c r="G358" s="112">
        <v>-751.2</v>
      </c>
      <c r="H358" s="112">
        <v>-245.9</v>
      </c>
      <c r="I358" s="49">
        <v>-751.18</v>
      </c>
      <c r="J358" s="49">
        <v>0</v>
      </c>
      <c r="K358" s="49">
        <v>0</v>
      </c>
      <c r="L358" s="49">
        <v>0</v>
      </c>
      <c r="M358" s="45"/>
      <c r="O358" s="35"/>
      <c r="P358" s="36"/>
      <c r="Q358" s="36"/>
      <c r="R358" s="37"/>
      <c r="S358" s="37"/>
      <c r="T358" s="37"/>
      <c r="U358" s="37"/>
      <c r="V358" s="37"/>
      <c r="W358" s="37"/>
      <c r="X358" s="37"/>
    </row>
    <row r="359" spans="1:24" s="34" customFormat="1" ht="60" x14ac:dyDescent="0.2">
      <c r="A359" s="116" t="s">
        <v>433</v>
      </c>
      <c r="B359" s="114" t="s">
        <v>396</v>
      </c>
      <c r="C359" s="114" t="s">
        <v>640</v>
      </c>
      <c r="D359" s="116" t="s">
        <v>433</v>
      </c>
      <c r="E359" s="138" t="s">
        <v>2</v>
      </c>
      <c r="F359" s="144"/>
      <c r="G359" s="112">
        <v>-96.6</v>
      </c>
      <c r="H359" s="112">
        <v>-380.1</v>
      </c>
      <c r="I359" s="49">
        <v>-96.625</v>
      </c>
      <c r="J359" s="49">
        <v>0</v>
      </c>
      <c r="K359" s="49">
        <v>0</v>
      </c>
      <c r="L359" s="49">
        <v>0</v>
      </c>
      <c r="M359" s="45"/>
      <c r="O359" s="35"/>
      <c r="P359" s="36"/>
      <c r="Q359" s="36"/>
      <c r="R359" s="37"/>
      <c r="S359" s="37"/>
      <c r="T359" s="37"/>
      <c r="U359" s="37"/>
      <c r="V359" s="37"/>
      <c r="W359" s="37"/>
      <c r="X359" s="37"/>
    </row>
    <row r="360" spans="1:24" s="34" customFormat="1" ht="108" x14ac:dyDescent="0.2">
      <c r="A360" s="116" t="s">
        <v>433</v>
      </c>
      <c r="B360" s="114" t="s">
        <v>396</v>
      </c>
      <c r="C360" s="114" t="s">
        <v>870</v>
      </c>
      <c r="D360" s="116" t="s">
        <v>433</v>
      </c>
      <c r="E360" s="138" t="s">
        <v>623</v>
      </c>
      <c r="F360" s="144"/>
      <c r="G360" s="112">
        <v>-66.2</v>
      </c>
      <c r="H360" s="112">
        <v>-6.9</v>
      </c>
      <c r="I360" s="49">
        <v>-66.186999999999998</v>
      </c>
      <c r="J360" s="49">
        <v>0</v>
      </c>
      <c r="K360" s="49">
        <v>0</v>
      </c>
      <c r="L360" s="49">
        <v>0</v>
      </c>
      <c r="M360" s="45"/>
      <c r="O360" s="35"/>
      <c r="P360" s="36"/>
      <c r="Q360" s="36"/>
      <c r="R360" s="37"/>
      <c r="S360" s="37"/>
      <c r="T360" s="37"/>
      <c r="U360" s="37"/>
      <c r="V360" s="37"/>
      <c r="W360" s="37"/>
      <c r="X360" s="37"/>
    </row>
    <row r="361" spans="1:24" s="34" customFormat="1" ht="60" x14ac:dyDescent="0.2">
      <c r="A361" s="116" t="s">
        <v>433</v>
      </c>
      <c r="B361" s="114" t="s">
        <v>396</v>
      </c>
      <c r="C361" s="114" t="s">
        <v>639</v>
      </c>
      <c r="D361" s="116" t="s">
        <v>433</v>
      </c>
      <c r="E361" s="114" t="s">
        <v>407</v>
      </c>
      <c r="F361" s="144"/>
      <c r="G361" s="112">
        <v>0</v>
      </c>
      <c r="H361" s="112">
        <v>-2.9</v>
      </c>
      <c r="I361" s="49">
        <v>0</v>
      </c>
      <c r="J361" s="49">
        <v>0</v>
      </c>
      <c r="K361" s="49">
        <v>0</v>
      </c>
      <c r="L361" s="49">
        <v>0</v>
      </c>
      <c r="M361" s="45"/>
      <c r="O361" s="35"/>
      <c r="P361" s="36"/>
      <c r="Q361" s="36"/>
      <c r="R361" s="37"/>
      <c r="S361" s="37"/>
      <c r="T361" s="37"/>
      <c r="U361" s="37"/>
      <c r="V361" s="37"/>
      <c r="W361" s="37"/>
      <c r="X361" s="37"/>
    </row>
    <row r="362" spans="1:24" s="34" customFormat="1" ht="96" x14ac:dyDescent="0.2">
      <c r="A362" s="116" t="s">
        <v>433</v>
      </c>
      <c r="B362" s="114" t="s">
        <v>396</v>
      </c>
      <c r="C362" s="114" t="s">
        <v>871</v>
      </c>
      <c r="D362" s="116" t="s">
        <v>433</v>
      </c>
      <c r="E362" s="114" t="s">
        <v>414</v>
      </c>
      <c r="F362" s="144"/>
      <c r="G362" s="112">
        <v>-1.7</v>
      </c>
      <c r="H362" s="112">
        <v>0</v>
      </c>
      <c r="I362" s="49">
        <v>-1.6859999999999999</v>
      </c>
      <c r="J362" s="49">
        <v>0</v>
      </c>
      <c r="K362" s="49">
        <v>0</v>
      </c>
      <c r="L362" s="49">
        <v>0</v>
      </c>
      <c r="M362" s="45"/>
      <c r="O362" s="35"/>
      <c r="P362" s="36"/>
      <c r="Q362" s="36"/>
      <c r="R362" s="37"/>
      <c r="S362" s="37"/>
      <c r="T362" s="37"/>
      <c r="U362" s="37"/>
      <c r="V362" s="37"/>
      <c r="W362" s="37"/>
      <c r="X362" s="37"/>
    </row>
    <row r="363" spans="1:24" ht="12" x14ac:dyDescent="0.2">
      <c r="A363" s="91" t="s">
        <v>356</v>
      </c>
      <c r="B363" s="91"/>
      <c r="C363" s="199"/>
      <c r="D363" s="199"/>
      <c r="E363" s="199"/>
      <c r="F363" s="200">
        <f>1589090643.26/1000</f>
        <v>1589090.64326</v>
      </c>
      <c r="G363" s="177">
        <f>G5+G11+G16+G21+G24+G27+G30+G33+G36+G45+G51+G56+G62+G66+G73+G76+G80+G87+G90+G92+G97+G111+G114+G118+G120+G122+G125+G129+G139+G142+G144+G153+G213+G215+G236+G240+G243+G248+G254+G267+G280+G284+G290+G292+G295+G305+G307+G313+G315+G323+G326+G336+G354+G319+G103+G108+G148+G251+G332+G338+G297+G299+G201+G204+G207+G258+G262+G151</f>
        <v>2314139.7259999989</v>
      </c>
      <c r="H363" s="177">
        <f>H5+H11+H16+H21+H24+H27+H30+H33+H36+H45+H51+H56+H62+H66+H73+H76+H80++H84+H87+H90+H92+H97+H111+H114+H118+H120+H122+H125+H129+H139+H142+H144+H153+H213+H215+H236+H240+H243+H248+H254+H267+H280+H284+H290+H292+H295+H305+H307+H313+H315+H323+H326+H336+H354+H319+H103+H108+H148+H251+H332+H338+H297+H299+H201+H204+H207+H258+H262+H156+H161+H167+H171+H176+H180+H185+H189+H194+H210+H230+H343+H345+H348+H351+H100+H105+H151+H218</f>
        <v>1721655.1</v>
      </c>
      <c r="I363" s="109" t="e">
        <f>I5+I11+I16+I21+I24+I27+I30+I33+I36+I45+I51+I56+I62+I66+I73+I76+I80+I87+I90+I92+I97+I111+I114+I118+I120+I122+I125+I129+I139+I142+I144+I153+I213+I215+I236+I240+I243+I248+I254+I267+I280+I284+I290+I292+I295+I305+I307+I313+I315+I323+I326+I336+I354+I319+I103+I108+I148+I251+I332+I338+I297+I299+I201+I204+I207+I258+I262</f>
        <v>#REF!</v>
      </c>
      <c r="J363" s="109" t="e">
        <f>J5+J11+J16+J21+J24+J27+J30+J33+J36+J45+J51+J56+J62+J66+J73+J76+J80+J87+J90+J92+J97+J111+J114+J118+J120+J122+J125+J129+J139+J142+J144+J153+J213+J215+J236+J240+J243+J248+J254+J267+J280+J284+J290+J292+J295+J305+J307+J313+J315+J323+J326+J336+J354+J319+J103+J108+J148+J251+J332+J338+J297+J299+J201+J204+J207+J258+J262</f>
        <v>#REF!</v>
      </c>
      <c r="K363" s="109" t="e">
        <f>K5+K11+K16+K21+K24+K27+K30+K33+K36+K45+K51+K56+K62+K66+K73+K76+K80+K87+K90+K92+K97+K111+K114+K118+K120+K122+K125+K129+K139+K142+K144+K153+K213+K215+K236+K240+K243+K248+K254+K267+K280+K284+K290+K292+K295+K305+K307+K313+K315+K323+K326+K336+K354+K319+K103+K108+K148+K251+K332+K338+K297+K299+K201+K204+K207+K258+K262</f>
        <v>#REF!</v>
      </c>
      <c r="L363" s="109" t="e">
        <f>L5+L11+L16+L21+L24+L27+L30+L33+L36+L45+L51+L56+L62+L66+L73+L76+L80+L87+L90+L92+L97+L111+L114+L118+L120+L122+L125+L129+L139+L142+L144+L153+L213+L215+L236+L240+L243+L248+L254+L267+L280+L284+L290+L292+L295+L305+L307+L313+L315+L323+L326+L336+L354+L319+L103+L108+L148+L251+L332+L338+L297+L299+L201+L204+L207+L258+L262</f>
        <v>#REF!</v>
      </c>
      <c r="M363" s="81"/>
    </row>
    <row r="364" spans="1:24" s="206" customFormat="1" ht="157.5" customHeight="1" x14ac:dyDescent="0.2">
      <c r="A364" s="251" t="s">
        <v>1229</v>
      </c>
      <c r="B364" s="251"/>
      <c r="C364" s="251"/>
      <c r="D364" s="251"/>
      <c r="E364" s="251"/>
      <c r="F364" s="203"/>
      <c r="G364" s="196"/>
      <c r="H364" s="196"/>
      <c r="I364" s="204"/>
      <c r="J364" s="196"/>
      <c r="K364" s="196"/>
      <c r="L364" s="196"/>
      <c r="M364" s="196"/>
      <c r="N364" s="102"/>
      <c r="O364" s="103"/>
      <c r="P364" s="205"/>
      <c r="Q364" s="205"/>
    </row>
    <row r="365" spans="1:24" s="104" customFormat="1" ht="105" customHeight="1" x14ac:dyDescent="0.2">
      <c r="A365" s="207" t="s">
        <v>438</v>
      </c>
      <c r="B365" s="208"/>
      <c r="C365" s="249" t="s">
        <v>872</v>
      </c>
      <c r="D365" s="249"/>
      <c r="E365" s="209"/>
      <c r="F365" s="203"/>
      <c r="G365" s="196"/>
      <c r="H365" s="196"/>
      <c r="I365" s="204"/>
      <c r="J365" s="196"/>
      <c r="K365" s="196"/>
      <c r="L365" s="196"/>
      <c r="M365" s="196"/>
      <c r="N365" s="102"/>
      <c r="O365" s="103"/>
      <c r="P365" s="205"/>
      <c r="Q365" s="205"/>
    </row>
    <row r="366" spans="1:24" ht="17.25" customHeight="1" x14ac:dyDescent="0.2">
      <c r="A366" s="250"/>
      <c r="B366" s="250"/>
      <c r="C366" s="250"/>
      <c r="E366" s="82" t="s">
        <v>437</v>
      </c>
      <c r="F366" s="83" t="e">
        <f>F6+F12+F17+F22+F57+F63+F67+F71+F77+F80+#REF!+F84+#REF!+#REF!+#REF!+F87+#REF!+F92+F100+F111+F114+F116+F118+F120+F125+F129+#REF!+F144+F213+F215+F236+#REF!+#REF!+F243+F246+F248+F254+F259+#REF!+F261+#REF!+F267+F273+F284+F289+F294+F312+F325+#REF!+F336+#REF!+F353</f>
        <v>#REF!</v>
      </c>
      <c r="G366" s="109">
        <v>2314139.7000000002</v>
      </c>
      <c r="H366" s="177">
        <v>1721655.15</v>
      </c>
      <c r="I366" s="80">
        <v>2541347.1874699998</v>
      </c>
      <c r="J366" s="80">
        <v>2617823.4</v>
      </c>
      <c r="K366" s="80">
        <v>2303245.2000000002</v>
      </c>
      <c r="L366" s="80">
        <v>2057726.1</v>
      </c>
      <c r="M366" s="84"/>
    </row>
    <row r="367" spans="1:24" ht="12.75" customHeight="1" x14ac:dyDescent="0.2">
      <c r="F367" s="83" t="e">
        <f>F366-F363</f>
        <v>#REF!</v>
      </c>
      <c r="G367" s="110">
        <f>G366-G363</f>
        <v>-2.5999998673796654E-2</v>
      </c>
      <c r="H367" s="197">
        <f>H366-H363</f>
        <v>4.9999999813735485E-2</v>
      </c>
      <c r="I367" s="85" t="e">
        <f>I366-I363</f>
        <v>#REF!</v>
      </c>
      <c r="J367" s="85" t="e">
        <f t="shared" ref="J367:L367" si="82">J366-J363</f>
        <v>#REF!</v>
      </c>
      <c r="K367" s="85" t="e">
        <f t="shared" si="82"/>
        <v>#REF!</v>
      </c>
      <c r="L367" s="85" t="e">
        <f t="shared" si="82"/>
        <v>#REF!</v>
      </c>
      <c r="M367" s="84"/>
    </row>
    <row r="368" spans="1:24" ht="12.75" customHeight="1" x14ac:dyDescent="0.2">
      <c r="G368" s="110"/>
      <c r="H368" s="197"/>
      <c r="I368" s="87"/>
      <c r="J368" s="88"/>
      <c r="K368" s="88"/>
      <c r="L368" s="88"/>
      <c r="M368" s="88"/>
    </row>
  </sheetData>
  <mergeCells count="207">
    <mergeCell ref="C168:C169"/>
    <mergeCell ref="D168:D169"/>
    <mergeCell ref="H168:H169"/>
    <mergeCell ref="E168:E169"/>
    <mergeCell ref="G168:G169"/>
    <mergeCell ref="D157:D159"/>
    <mergeCell ref="E158:E159"/>
    <mergeCell ref="C158:C159"/>
    <mergeCell ref="B158:B159"/>
    <mergeCell ref="G158:G159"/>
    <mergeCell ref="H158:H159"/>
    <mergeCell ref="B162:B163"/>
    <mergeCell ref="B168:B169"/>
    <mergeCell ref="B12:B15"/>
    <mergeCell ref="C12:C15"/>
    <mergeCell ref="D12:D15"/>
    <mergeCell ref="E12:E15"/>
    <mergeCell ref="F12:F15"/>
    <mergeCell ref="F6:F9"/>
    <mergeCell ref="B6:B10"/>
    <mergeCell ref="C6:C10"/>
    <mergeCell ref="D6:D10"/>
    <mergeCell ref="E6:E10"/>
    <mergeCell ref="A1:K1"/>
    <mergeCell ref="A2:A3"/>
    <mergeCell ref="B2:B3"/>
    <mergeCell ref="C2:D2"/>
    <mergeCell ref="E2:E3"/>
    <mergeCell ref="F2:F3"/>
    <mergeCell ref="G2:G3"/>
    <mergeCell ref="H2:H3"/>
    <mergeCell ref="I2:I3"/>
    <mergeCell ref="J2:L2"/>
    <mergeCell ref="H12:H15"/>
    <mergeCell ref="I12:I15"/>
    <mergeCell ref="J12:J15"/>
    <mergeCell ref="K12:K15"/>
    <mergeCell ref="L12:L15"/>
    <mergeCell ref="G6:G10"/>
    <mergeCell ref="H6:H10"/>
    <mergeCell ref="I6:I10"/>
    <mergeCell ref="J6:J10"/>
    <mergeCell ref="K6:K10"/>
    <mergeCell ref="L6:L10"/>
    <mergeCell ref="G12:G15"/>
    <mergeCell ref="H17:H20"/>
    <mergeCell ref="I17:I20"/>
    <mergeCell ref="J17:J20"/>
    <mergeCell ref="K17:K20"/>
    <mergeCell ref="L17:L20"/>
    <mergeCell ref="B25:B34"/>
    <mergeCell ref="B17:B20"/>
    <mergeCell ref="C17:C20"/>
    <mergeCell ref="D17:D20"/>
    <mergeCell ref="E17:E20"/>
    <mergeCell ref="F17:F20"/>
    <mergeCell ref="G17:G20"/>
    <mergeCell ref="B41:B43"/>
    <mergeCell ref="C41:C43"/>
    <mergeCell ref="D41:D43"/>
    <mergeCell ref="E41:E43"/>
    <mergeCell ref="F41:F43"/>
    <mergeCell ref="B37:B40"/>
    <mergeCell ref="C37:C40"/>
    <mergeCell ref="D37:D40"/>
    <mergeCell ref="E37:E40"/>
    <mergeCell ref="F37:F40"/>
    <mergeCell ref="G41:G43"/>
    <mergeCell ref="H41:H43"/>
    <mergeCell ref="I41:I43"/>
    <mergeCell ref="J41:J43"/>
    <mergeCell ref="K41:K43"/>
    <mergeCell ref="L41:L43"/>
    <mergeCell ref="H37:H40"/>
    <mergeCell ref="I37:I40"/>
    <mergeCell ref="J37:J40"/>
    <mergeCell ref="K37:K40"/>
    <mergeCell ref="L37:L40"/>
    <mergeCell ref="G37:G40"/>
    <mergeCell ref="B52:B54"/>
    <mergeCell ref="C52:C54"/>
    <mergeCell ref="D52:D54"/>
    <mergeCell ref="E52:E54"/>
    <mergeCell ref="F52:F54"/>
    <mergeCell ref="B46:B48"/>
    <mergeCell ref="C46:C48"/>
    <mergeCell ref="D46:D48"/>
    <mergeCell ref="E46:E48"/>
    <mergeCell ref="F46:F48"/>
    <mergeCell ref="G52:G54"/>
    <mergeCell ref="H52:H54"/>
    <mergeCell ref="I52:I54"/>
    <mergeCell ref="J52:J54"/>
    <mergeCell ref="K52:K54"/>
    <mergeCell ref="L52:L54"/>
    <mergeCell ref="H46:H48"/>
    <mergeCell ref="I46:I48"/>
    <mergeCell ref="J46:J48"/>
    <mergeCell ref="K46:K48"/>
    <mergeCell ref="L46:L48"/>
    <mergeCell ref="G46:G48"/>
    <mergeCell ref="B63:B64"/>
    <mergeCell ref="C63:C64"/>
    <mergeCell ref="D63:D64"/>
    <mergeCell ref="E63:E64"/>
    <mergeCell ref="F63:F64"/>
    <mergeCell ref="B57:B60"/>
    <mergeCell ref="C57:C60"/>
    <mergeCell ref="D57:D60"/>
    <mergeCell ref="E57:E60"/>
    <mergeCell ref="F57:F60"/>
    <mergeCell ref="G63:G64"/>
    <mergeCell ref="H63:H64"/>
    <mergeCell ref="I63:I64"/>
    <mergeCell ref="J63:J64"/>
    <mergeCell ref="K63:K64"/>
    <mergeCell ref="L63:L64"/>
    <mergeCell ref="H57:H60"/>
    <mergeCell ref="I57:I60"/>
    <mergeCell ref="J57:J60"/>
    <mergeCell ref="K57:K60"/>
    <mergeCell ref="L57:L60"/>
    <mergeCell ref="G57:G60"/>
    <mergeCell ref="B77:B78"/>
    <mergeCell ref="C77:C78"/>
    <mergeCell ref="D77:D78"/>
    <mergeCell ref="E77:E78"/>
    <mergeCell ref="F77:F78"/>
    <mergeCell ref="B67:B69"/>
    <mergeCell ref="C67:C69"/>
    <mergeCell ref="D67:D69"/>
    <mergeCell ref="E67:E69"/>
    <mergeCell ref="F67:F69"/>
    <mergeCell ref="G77:G78"/>
    <mergeCell ref="H77:H78"/>
    <mergeCell ref="I77:I78"/>
    <mergeCell ref="J77:J78"/>
    <mergeCell ref="K77:K78"/>
    <mergeCell ref="L77:L78"/>
    <mergeCell ref="H67:H69"/>
    <mergeCell ref="I67:I69"/>
    <mergeCell ref="J67:J69"/>
    <mergeCell ref="K67:K69"/>
    <mergeCell ref="L67:L69"/>
    <mergeCell ref="G67:G69"/>
    <mergeCell ref="C365:D365"/>
    <mergeCell ref="A366:C366"/>
    <mergeCell ref="A364:E364"/>
    <mergeCell ref="I81:I82"/>
    <mergeCell ref="J81:J82"/>
    <mergeCell ref="K81:K82"/>
    <mergeCell ref="L81:L82"/>
    <mergeCell ref="B81:B82"/>
    <mergeCell ref="C81:C82"/>
    <mergeCell ref="D81:D82"/>
    <mergeCell ref="E81:E82"/>
    <mergeCell ref="G81:G82"/>
    <mergeCell ref="H81:H82"/>
    <mergeCell ref="C172:C174"/>
    <mergeCell ref="E172:E174"/>
    <mergeCell ref="D172:D174"/>
    <mergeCell ref="H172:H174"/>
    <mergeCell ref="G172:G174"/>
    <mergeCell ref="C177:C178"/>
    <mergeCell ref="D177:D178"/>
    <mergeCell ref="E177:E178"/>
    <mergeCell ref="G177:G178"/>
    <mergeCell ref="A164:A165"/>
    <mergeCell ref="D162:D165"/>
    <mergeCell ref="E190:E192"/>
    <mergeCell ref="G190:G192"/>
    <mergeCell ref="H190:H192"/>
    <mergeCell ref="C195:C196"/>
    <mergeCell ref="H177:H178"/>
    <mergeCell ref="C181:C183"/>
    <mergeCell ref="D181:D183"/>
    <mergeCell ref="E181:E183"/>
    <mergeCell ref="G181:G183"/>
    <mergeCell ref="H181:H183"/>
    <mergeCell ref="C186:C187"/>
    <mergeCell ref="D186:D187"/>
    <mergeCell ref="E186:E187"/>
    <mergeCell ref="G186:G187"/>
    <mergeCell ref="H186:H187"/>
    <mergeCell ref="E231:E233"/>
    <mergeCell ref="C231:C233"/>
    <mergeCell ref="G231:G233"/>
    <mergeCell ref="H231:H233"/>
    <mergeCell ref="G195:G196"/>
    <mergeCell ref="H195:H196"/>
    <mergeCell ref="D195:D199"/>
    <mergeCell ref="D219:D228"/>
    <mergeCell ref="C225:C227"/>
    <mergeCell ref="E225:E227"/>
    <mergeCell ref="H225:H227"/>
    <mergeCell ref="G225:G227"/>
    <mergeCell ref="B172:B174"/>
    <mergeCell ref="B177:B178"/>
    <mergeCell ref="B181:B183"/>
    <mergeCell ref="B186:B187"/>
    <mergeCell ref="B190:B192"/>
    <mergeCell ref="B195:B196"/>
    <mergeCell ref="B225:B227"/>
    <mergeCell ref="B231:B233"/>
    <mergeCell ref="D231:D234"/>
    <mergeCell ref="C190:C192"/>
    <mergeCell ref="D190:D192"/>
  </mergeCells>
  <pageMargins left="0.19685039370078741" right="0" top="0.19685039370078741" bottom="0.19685039370078741" header="0" footer="0"/>
  <pageSetup paperSize="9" scale="66" orientation="portrait" r:id="rId1"/>
  <headerFooter alignWithMargins="0"/>
  <rowBreaks count="1" manualBreakCount="1">
    <brk id="3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на 01.01.2020г. </vt:lpstr>
      <vt:lpstr>на 01.10.2020г. </vt:lpstr>
      <vt:lpstr>реестр 2021-2023гг.</vt:lpstr>
      <vt:lpstr>'на 01.01.2020г. '!LAST_CELL</vt:lpstr>
      <vt:lpstr>'на 01.10.2020г. '!LAST_CELL</vt:lpstr>
      <vt:lpstr>'реестр 2021-2023гг.'!Заголовки_для_печати</vt:lpstr>
      <vt:lpstr>'реестр 2021-2023гг.'!Область_печати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Финуправление</dc:creator>
  <dc:description>POI HSSF rep:2.40.0.76</dc:description>
  <cp:lastModifiedBy>RePack by Diakov</cp:lastModifiedBy>
  <cp:lastPrinted>2020-10-30T03:41:29Z</cp:lastPrinted>
  <dcterms:created xsi:type="dcterms:W3CDTF">2017-04-21T00:40:08Z</dcterms:created>
  <dcterms:modified xsi:type="dcterms:W3CDTF">2020-11-06T07:30:47Z</dcterms:modified>
</cp:coreProperties>
</file>